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02" firstSheet="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AnzZonen">'Tabelle1'!$B$9</definedName>
    <definedName name="_xlnm.Print_Area" localSheetId="0">'Tabelle1'!$A$1:$I$57</definedName>
    <definedName name="Kurvenradius">'Tabelle1'!$B$6</definedName>
    <definedName name="Max">'Tabelle1'!$Q$33</definedName>
    <definedName name="min">'Tabelle1'!$Q$32</definedName>
    <definedName name="ParabolGrad">'Tabelle1'!$B$10</definedName>
    <definedName name="RMS">'Tabelle1'!$N$72</definedName>
    <definedName name="Spiegeldurchmesser">'Tabelle1'!$B$5</definedName>
    <definedName name="ZM1">'Tabelle1'!$B$18</definedName>
    <definedName name="ZM2">'Tabelle1'!$C$18</definedName>
    <definedName name="ZM3">'Tabelle1'!$D$18</definedName>
    <definedName name="ZM4">'Tabelle1'!$E$18</definedName>
    <definedName name="ZM5">'Tabelle1'!$F$18</definedName>
    <definedName name="ZM6">'Tabelle1'!$G$18</definedName>
    <definedName name="ZM7">'Tabelle1'!$H$18</definedName>
    <definedName name="ZR1">'Tabelle1'!$B$14</definedName>
    <definedName name="ZR2">'Tabelle1'!$C$14</definedName>
    <definedName name="ZR3">'Tabelle1'!$D$14</definedName>
    <definedName name="ZR4">'Tabelle1'!$E$14</definedName>
    <definedName name="ZR5">'Tabelle1'!$F$14</definedName>
    <definedName name="ZR6">'Tabelle1'!$G$14</definedName>
    <definedName name="ZR7">'Tabelle1'!$H$14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I17" authorId="0">
      <text>
        <r>
          <rPr>
            <sz val="8"/>
            <rFont val="Tahoma"/>
            <family val="0"/>
          </rPr>
          <t xml:space="preserve">Hier die gesamt Brennweitendifferenz
"Rand - Mitte", gemessen ohne Masken eintragen.
Wert bezogen auf fixed light source! </t>
        </r>
      </text>
    </comment>
    <comment ref="I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</commentList>
</comments>
</file>

<file path=xl/sharedStrings.xml><?xml version="1.0" encoding="utf-8"?>
<sst xmlns="http://schemas.openxmlformats.org/spreadsheetml/2006/main" count="44" uniqueCount="44">
  <si>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</si>
  <si>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</si>
  <si>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</si>
  <si>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</si>
  <si>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</si>
  <si>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</si>
  <si>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</si>
  <si>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(minimal 2; maximal 7)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</si>
  <si>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</si>
  <si>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</si>
  <si>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</si>
  <si>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</si>
  <si>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</si>
  <si>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</si>
  <si>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</si>
  <si>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</si>
  <si>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</si>
  <si>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</si>
  <si>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</si>
  <si>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</si>
  <si>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</si>
  <si>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</si>
  <si>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</si>
  <si>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</si>
  <si>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</si>
  <si>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</si>
  <si>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</si>
  <si>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</si>
  <si>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</si>
  <si>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</si>
  <si>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</si>
  <si>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</si>
  <si>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</si>
  <si>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</si>
  <si>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</si>
  <si>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</si>
  <si>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</si>
  <si>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</si>
  <si>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Gesamtansicht wie aus'm Bilderbuch</t>
  </si>
  <si>
    <t>Grüne Werte eintragen</t>
  </si>
  <si>
    <t>44 cm  Spiegel  f/4,5</t>
  </si>
  <si>
    <t>Klau's Tester. 2 genaue Messreihen</t>
  </si>
  <si>
    <t>Strehl Ratio:</t>
  </si>
  <si>
    <t>Wavefront RMS: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</si>
</sst>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1" fillId="2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2" xfId="0" applyNumberForma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3" fontId="1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25"/>
          <c:w val="1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Tabelle1!$M$29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Tabelle1!$L$30:$L$70</c:f>
              <c:numCache/>
            </c:numRef>
          </c:xVal>
          <c:yVal>
            <c:numRef>
              <c:f>Tabelle1!$M$30:$M$70</c:f>
              <c:numCache/>
            </c:numRef>
          </c:yVal>
          <c:smooth val="0"/>
        </c:ser>
        <c:ser>
          <c:idx val="1"/>
          <c:order val="1"/>
          <c:tx>
            <c:strRef>
              <c:f>Tabelle1!$Q$38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Tabelle1!$P$39:$P$58</c:f>
              <c:numCache/>
            </c:numRef>
          </c:xVal>
          <c:yVal>
            <c:numRef>
              <c:f>Tabelle1!$Q$39:$Q$58</c:f>
              <c:numCache/>
            </c:numRef>
          </c:yVal>
          <c:smooth val="0"/>
        </c:ser>
        <c:axId val="7342222"/>
        <c:axId val="61964535"/>
      </c:scatterChart>
      <c:valAx>
        <c:axId val="73422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61964535"/>
        <c:crosses val="autoZero"/>
        <c:crossBetween val="midCat"/>
        <c:dispUnits/>
      </c:valAx>
      <c:valAx>
        <c:axId val="619645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7342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0.19775</cdr:y>
    </cdr:from>
    <cdr:to>
      <cdr:x>0.04175</cdr:x>
      <cdr:y>0.2395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9429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8</xdr:col>
      <xdr:colOff>685800</xdr:colOff>
      <xdr:row>56</xdr:row>
      <xdr:rowOff>95250</xdr:rowOff>
    </xdr:to>
    <xdr:graphicFrame>
      <xdr:nvGraphicFramePr>
        <xdr:cNvPr id="1" name="Chart 6"/>
        <xdr:cNvGraphicFramePr/>
      </xdr:nvGraphicFramePr>
      <xdr:xfrm>
        <a:off x="19050" y="4752975"/>
        <a:ext cx="5753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workbookViewId="0" topLeftCell="A1">
      <selection activeCell="H26" sqref="H26"/>
    </sheetView>
  </sheetViews>
  <sheetFormatPr defaultColWidth="11.421875" defaultRowHeight="12.75"/>
  <cols>
    <col min="1" max="1" width="20.8515625" style="11" customWidth="1"/>
    <col min="2" max="2" width="9.140625" style="11" customWidth="1"/>
    <col min="3" max="8" width="7.7109375" style="11" customWidth="1"/>
    <col min="9" max="9" width="10.8515625" style="11" customWidth="1"/>
    <col min="10" max="16384" width="11.421875" style="11" customWidth="1"/>
  </cols>
  <sheetData>
    <row r="1" ht="12.75">
      <c r="I1" s="12" t="str">
        <f ca="1">CELL("filename",$A$2)</f>
        <v>C:\Eigene Dateien\Stathis\Webs\[foucault_175zoll_f45_aristarchos.xls]Tabelle1</v>
      </c>
    </row>
    <row r="2" spans="1:9" ht="22.5" customHeight="1">
      <c r="A2" s="60" t="s">
        <v>0</v>
      </c>
      <c r="H2" s="13" t="s">
        <v>1</v>
      </c>
      <c r="I2" s="61">
        <f ca="1">NOW()</f>
        <v>37309.921194560186</v>
      </c>
    </row>
    <row r="3" spans="1:9" ht="18">
      <c r="A3" s="60" t="s">
        <v>40</v>
      </c>
      <c r="E3" s="47"/>
      <c r="G3"/>
      <c r="I3" s="62" t="s">
        <v>39</v>
      </c>
    </row>
    <row r="4" ht="9" customHeight="1" thickBot="1"/>
    <row r="5" spans="1:5" ht="13.5" thickBot="1">
      <c r="A5" s="11" t="s">
        <v>2</v>
      </c>
      <c r="B5" s="44">
        <v>444</v>
      </c>
      <c r="E5" s="11" t="s">
        <v>41</v>
      </c>
    </row>
    <row r="6" spans="1:5" ht="13.5" thickBot="1">
      <c r="A6" s="11" t="s">
        <v>3</v>
      </c>
      <c r="B6" s="45">
        <v>3973</v>
      </c>
      <c r="E6" s="11" t="s">
        <v>38</v>
      </c>
    </row>
    <row r="7" spans="1:2" ht="12.75">
      <c r="A7" s="11" t="s">
        <v>4</v>
      </c>
      <c r="B7" s="40">
        <f>Kurvenradius/2</f>
        <v>1986.5</v>
      </c>
    </row>
    <row r="8" spans="1:2" ht="13.5" thickBot="1">
      <c r="A8" s="11" t="s">
        <v>5</v>
      </c>
      <c r="B8" s="39">
        <f>B6/2/B5</f>
        <v>4.474099099099099</v>
      </c>
    </row>
    <row r="9" spans="1:3" ht="13.5" thickBot="1">
      <c r="A9" s="11" t="s">
        <v>6</v>
      </c>
      <c r="B9" s="43">
        <v>7</v>
      </c>
      <c r="C9" s="14" t="s">
        <v>7</v>
      </c>
    </row>
    <row r="10" spans="1:3" ht="13.5" thickBot="1">
      <c r="A10" s="11" t="s">
        <v>8</v>
      </c>
      <c r="B10" s="43">
        <v>1</v>
      </c>
      <c r="C10" s="14" t="s">
        <v>9</v>
      </c>
    </row>
    <row r="11" ht="12.75"/>
    <row r="12" spans="1:9" ht="12.75">
      <c r="A12" s="15" t="s">
        <v>10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 t="s">
        <v>11</v>
      </c>
    </row>
    <row r="13" spans="1:9" ht="13.5" thickBot="1">
      <c r="A13" s="18"/>
      <c r="B13" s="42"/>
      <c r="C13" s="42"/>
      <c r="D13" s="42"/>
      <c r="E13" s="42"/>
      <c r="F13" s="19"/>
      <c r="G13" s="19"/>
      <c r="H13" s="19"/>
      <c r="I13" s="20" t="s">
        <v>12</v>
      </c>
    </row>
    <row r="14" spans="1:9" ht="13.5" thickBot="1">
      <c r="A14" s="21" t="s">
        <v>13</v>
      </c>
      <c r="B14" s="46">
        <v>53</v>
      </c>
      <c r="C14" s="46">
        <v>96.3</v>
      </c>
      <c r="D14" s="46">
        <v>128.5</v>
      </c>
      <c r="E14" s="46">
        <v>154.6</v>
      </c>
      <c r="F14" s="46">
        <v>176.9</v>
      </c>
      <c r="G14" s="46">
        <v>196.7</v>
      </c>
      <c r="H14" s="46">
        <v>214.5</v>
      </c>
      <c r="I14" s="38">
        <f>Spiegeldurchmesser/2</f>
        <v>222</v>
      </c>
    </row>
    <row r="15" spans="1:9" ht="12.75">
      <c r="A15" s="21" t="s">
        <v>14</v>
      </c>
      <c r="B15" s="41">
        <f>B14/Spiegeldurchmesser*2</f>
        <v>0.23873873873873874</v>
      </c>
      <c r="C15" s="41">
        <f>C14/Spiegeldurchmesser*2</f>
        <v>0.4337837837837838</v>
      </c>
      <c r="D15" s="41">
        <f>IF(D14&lt;&gt;0,D14/Spiegeldurchmesser*2,"")</f>
        <v>0.5788288288288288</v>
      </c>
      <c r="E15" s="41">
        <f>IF(E14&lt;&gt;0,E14/Spiegeldurchmesser*2,"")</f>
        <v>0.6963963963963964</v>
      </c>
      <c r="F15" s="41">
        <f>IF(F14&lt;&gt;0,F14/Spiegeldurchmesser*2,"")</f>
        <v>0.7968468468468469</v>
      </c>
      <c r="G15" s="41">
        <f>IF(G14&lt;&gt;0,G14/Spiegeldurchmesser*2,"")</f>
        <v>0.886036036036036</v>
      </c>
      <c r="H15" s="41">
        <f>IF(H14&lt;&gt;0,H14/Spiegeldurchmesser*2,"")</f>
        <v>0.9662162162162162</v>
      </c>
      <c r="I15" s="1">
        <f>I14/$B$5*2</f>
        <v>1</v>
      </c>
    </row>
    <row r="16" spans="1:16" ht="12.75">
      <c r="A16" s="21" t="s">
        <v>15</v>
      </c>
      <c r="B16" s="22">
        <v>0</v>
      </c>
      <c r="C16" s="22">
        <v>0.81</v>
      </c>
      <c r="D16" s="22">
        <v>1.72</v>
      </c>
      <c r="E16" s="22">
        <v>2.62</v>
      </c>
      <c r="F16" s="22">
        <v>3.5</v>
      </c>
      <c r="G16" s="22">
        <v>4.6</v>
      </c>
      <c r="H16" s="22">
        <v>5.4</v>
      </c>
      <c r="I16" s="23"/>
      <c r="K16" s="24"/>
      <c r="L16" s="24"/>
      <c r="M16" s="24"/>
      <c r="N16" s="24"/>
      <c r="O16" s="24"/>
      <c r="P16" s="24"/>
    </row>
    <row r="17" spans="1:9" ht="12.75">
      <c r="A17" s="25" t="s">
        <v>16</v>
      </c>
      <c r="B17" s="26"/>
      <c r="C17" s="26"/>
      <c r="D17" s="26"/>
      <c r="E17" s="26"/>
      <c r="F17" s="26"/>
      <c r="G17" s="26"/>
      <c r="H17" s="27" t="s">
        <v>37</v>
      </c>
      <c r="I17" s="54">
        <v>12</v>
      </c>
    </row>
    <row r="18" spans="1:9" ht="12.75">
      <c r="A18" s="28" t="s">
        <v>36</v>
      </c>
      <c r="B18" s="2">
        <f>(B16-$B$16)*2</f>
        <v>0</v>
      </c>
      <c r="C18" s="2">
        <f>(C16-$B$16)*2</f>
        <v>1.62</v>
      </c>
      <c r="D18" s="2">
        <f>IF(D14&lt;&gt;0,(D16-$B$16)*2,0)</f>
        <v>3.44</v>
      </c>
      <c r="E18" s="2">
        <f>IF(E14&lt;&gt;0,(E16-$B$16)*2,0)</f>
        <v>5.24</v>
      </c>
      <c r="F18" s="2">
        <f>IF(F14&lt;&gt;0,(F16-$B$16)*2,0)</f>
        <v>7</v>
      </c>
      <c r="G18" s="2">
        <f>IF(G14&lt;&gt;0,(G16-$B$16)*2,0)</f>
        <v>9.2</v>
      </c>
      <c r="H18" s="2">
        <f>IF(H14&lt;&gt;0,(H16-$B$16)*2,0)</f>
        <v>10.8</v>
      </c>
      <c r="I18" s="29"/>
    </row>
    <row r="19" spans="1:9" ht="12.75">
      <c r="A19" s="30" t="s">
        <v>17</v>
      </c>
      <c r="B19" s="3">
        <f>(B14^2-$B$14^2)/Kurvenradius</f>
        <v>0</v>
      </c>
      <c r="C19" s="3">
        <f>(C14^2-$B$14^2)/Kurvenradius</f>
        <v>1.6271558016612129</v>
      </c>
      <c r="D19" s="3">
        <f>IF(D14&lt;&gt;0,(D14^2-$B$14^2)/Kurvenradius,"")</f>
        <v>3.4490938837150766</v>
      </c>
      <c r="E19" s="3">
        <f>IF(E14&lt;&gt;0,(E14^2-$B$14^2)/Kurvenradius,"")</f>
        <v>5.308874905612887</v>
      </c>
      <c r="F19" s="3">
        <f>IF(F14&lt;&gt;0,(F14^2-$B$14^2)/Kurvenradius,"")</f>
        <v>7.169546941857538</v>
      </c>
      <c r="G19" s="3">
        <f>IF(G14&lt;&gt;0,(G14^2-$B$14^2)/Kurvenradius,"")</f>
        <v>9.031434684117793</v>
      </c>
      <c r="H19" s="3">
        <f>IF(H14&lt;&gt;0,(H14^2-$B$14^2)/Kurvenradius,"")</f>
        <v>10.873710042788824</v>
      </c>
      <c r="I19" s="9">
        <f>(Spiegeldurchmesser/2)^2/Kurvenradius</f>
        <v>12.404731940599044</v>
      </c>
    </row>
    <row r="20" spans="1:9" ht="12.75">
      <c r="A20" s="21" t="s">
        <v>18</v>
      </c>
      <c r="B20" s="4"/>
      <c r="C20" s="5">
        <f>C18-B18</f>
        <v>1.62</v>
      </c>
      <c r="D20" s="5">
        <f>IF(D14&lt;&gt;0,D18-C18,"")</f>
        <v>1.8199999999999998</v>
      </c>
      <c r="E20" s="5">
        <f>IF(E14&lt;&gt;0,E18-D18,"")</f>
        <v>1.8000000000000003</v>
      </c>
      <c r="F20" s="5">
        <f>IF(F14&lt;&gt;0,F18-E18,"")</f>
        <v>1.7599999999999998</v>
      </c>
      <c r="G20" s="5">
        <f>IF(G14&lt;&gt;0,G18-F18,"")</f>
        <v>2.1999999999999993</v>
      </c>
      <c r="H20" s="5">
        <f>IF(H14&lt;&gt;0,H18-G18,"")</f>
        <v>1.6000000000000014</v>
      </c>
      <c r="I20" s="31"/>
    </row>
    <row r="21" spans="1:9" ht="12.75">
      <c r="A21" s="21" t="s">
        <v>19</v>
      </c>
      <c r="B21" s="6"/>
      <c r="C21" s="5">
        <f>C19-B19</f>
        <v>1.6271558016612129</v>
      </c>
      <c r="D21" s="5">
        <f>IF(D14&lt;&gt;0,D19-C19,"")</f>
        <v>1.8219380820538638</v>
      </c>
      <c r="E21" s="5">
        <f>IF(E14&lt;&gt;0,E19-D19,"")</f>
        <v>1.8597810218978106</v>
      </c>
      <c r="F21" s="5">
        <f>IF(F14&lt;&gt;0,F19-E19,"")</f>
        <v>1.860672036244651</v>
      </c>
      <c r="G21" s="5">
        <f>IF(G14&lt;&gt;0,G19-F19,"")</f>
        <v>1.8618877422602544</v>
      </c>
      <c r="H21" s="5">
        <f>IF(H14&lt;&gt;0,H19-G19,"")</f>
        <v>1.8422753586710314</v>
      </c>
      <c r="I21" s="23"/>
    </row>
    <row r="22" spans="1:9" ht="12.75">
      <c r="A22" s="32" t="s">
        <v>20</v>
      </c>
      <c r="B22" s="7"/>
      <c r="C22" s="8">
        <f>C20/C21</f>
        <v>0.9956022639910037</v>
      </c>
      <c r="D22" s="8">
        <f>IF(D14&lt;&gt;0,D20/D21,"")</f>
        <v>0.9989362525143121</v>
      </c>
      <c r="E22" s="8">
        <f>IF(E14&lt;&gt;0,E20/E21,"")</f>
        <v>0.9678558813140232</v>
      </c>
      <c r="F22" s="8">
        <f>IF(F14&lt;&gt;0,F20/F21,"")</f>
        <v>0.945894798071005</v>
      </c>
      <c r="G22" s="8">
        <f>IF(G14&lt;&gt;0,G20/G21,"")</f>
        <v>1.1815964787056874</v>
      </c>
      <c r="H22" s="8">
        <f>IF(H14&lt;&gt;0,H20/H21,"")</f>
        <v>0.8684912342062693</v>
      </c>
      <c r="I22" s="10">
        <f>I17/I19</f>
        <v>0.9673727781835889</v>
      </c>
    </row>
    <row r="23" spans="2:9" ht="12.75">
      <c r="B23" s="33"/>
      <c r="C23" s="33"/>
      <c r="D23" s="33"/>
      <c r="E23" s="33"/>
      <c r="F23" s="33"/>
      <c r="G23" s="33"/>
      <c r="H23" s="33"/>
      <c r="I23" s="33"/>
    </row>
    <row r="24" spans="2:9" ht="15.75">
      <c r="B24" s="33"/>
      <c r="C24" s="33"/>
      <c r="D24" s="33"/>
      <c r="E24" s="33"/>
      <c r="F24" s="33"/>
      <c r="H24" s="13" t="s">
        <v>21</v>
      </c>
      <c r="I24" s="34">
        <f>1/(Max-min)</f>
        <v>7.24999064070537</v>
      </c>
    </row>
    <row r="25" spans="1:9" ht="15.75">
      <c r="A25"/>
      <c r="D25"/>
      <c r="F25" s="33"/>
      <c r="H25" s="13" t="s">
        <v>22</v>
      </c>
      <c r="I25" s="34">
        <f>1/(Max-min)*2</f>
        <v>14.49998128141074</v>
      </c>
    </row>
    <row r="26" spans="1:9" ht="15.75">
      <c r="A26"/>
      <c r="D26"/>
      <c r="F26" s="33"/>
      <c r="H26" s="13" t="s">
        <v>43</v>
      </c>
      <c r="I26" s="34">
        <f>1/(RMS)</f>
        <v>52.2382179355134</v>
      </c>
    </row>
    <row r="27" spans="1:9" ht="15.75">
      <c r="A27" s="35" t="s">
        <v>23</v>
      </c>
      <c r="D27" s="36">
        <f>$B$10</f>
        <v>1</v>
      </c>
      <c r="F27" s="33"/>
      <c r="H27" s="13" t="s">
        <v>42</v>
      </c>
      <c r="I27" s="63">
        <f>1/EXP((2*PI()/I26)^2)</f>
        <v>0.9856369948492704</v>
      </c>
    </row>
    <row r="28" spans="2:14" ht="12.75">
      <c r="B28" s="33"/>
      <c r="C28" s="33"/>
      <c r="D28" s="33"/>
      <c r="E28" s="33"/>
      <c r="F28" s="33"/>
      <c r="G28" s="33"/>
      <c r="H28" s="33"/>
      <c r="I28" s="33"/>
      <c r="N28" s="13" t="s">
        <v>24</v>
      </c>
    </row>
    <row r="29" spans="10:17" ht="12.75">
      <c r="J29" s="13"/>
      <c r="K29" s="13" t="s">
        <v>25</v>
      </c>
      <c r="L29" s="13" t="s">
        <v>26</v>
      </c>
      <c r="M29" s="37" t="s">
        <v>27</v>
      </c>
      <c r="O29" s="13"/>
      <c r="P29" s="13"/>
      <c r="Q29" s="13"/>
    </row>
    <row r="30" spans="10:15" ht="12.75">
      <c r="J30" s="13"/>
      <c r="K30" s="11">
        <f aca="true" t="shared" si="0" ref="K30:K70">L30*$B$5/2</f>
        <v>0</v>
      </c>
      <c r="L30" s="13">
        <v>0</v>
      </c>
      <c r="M30" s="13">
        <f aca="true" t="shared" si="1" ref="M30:M70">WaveError(Spiegeldurchmesser,Kurvenradius,AnzZonen,ParabolGrad,ZR1,ZR2,ZR3,ZR4,ZR5,ZR6,ZR7,ZM1,ZM2,ZM3,ZM4,ZM5,ZM6,ZM7,K30)</f>
        <v>0</v>
      </c>
      <c r="N30" s="13">
        <v>0</v>
      </c>
      <c r="O30" s="13"/>
    </row>
    <row r="31" spans="10:15" ht="12.75">
      <c r="J31" s="13"/>
      <c r="K31" s="59">
        <f t="shared" si="0"/>
        <v>5.550000000000001</v>
      </c>
      <c r="L31" s="13">
        <v>0.025</v>
      </c>
      <c r="M31" s="53">
        <f t="shared" si="1"/>
        <v>0.0003863780268122519</v>
      </c>
      <c r="N31" s="55">
        <f>M31^2*K31*(K31-K30)</f>
        <v>4.598442991731551E-06</v>
      </c>
      <c r="O31" s="13"/>
    </row>
    <row r="32" spans="11:17" ht="12.75">
      <c r="K32" s="52">
        <f t="shared" si="0"/>
        <v>11.100000000000001</v>
      </c>
      <c r="L32" s="13">
        <v>0.05</v>
      </c>
      <c r="M32" s="53">
        <f t="shared" si="1"/>
        <v>0.0014905787445562155</v>
      </c>
      <c r="N32" s="55">
        <f aca="true" t="shared" si="2" ref="N32:N47">M32^2*K32*(K32-K31)</f>
        <v>0.00013687552873829212</v>
      </c>
      <c r="O32" s="13"/>
      <c r="P32" s="11" t="s">
        <v>28</v>
      </c>
      <c r="Q32" s="11">
        <f>MIN($M$30:$M$70)</f>
        <v>-0.12765635459815317</v>
      </c>
    </row>
    <row r="33" spans="11:17" ht="12.75">
      <c r="K33" s="52">
        <f t="shared" si="0"/>
        <v>16.65</v>
      </c>
      <c r="L33" s="13">
        <v>0.075</v>
      </c>
      <c r="M33" s="53">
        <f t="shared" si="1"/>
        <v>0.0031544666835328075</v>
      </c>
      <c r="N33" s="55">
        <f t="shared" si="2"/>
        <v>0.0009195156192651374</v>
      </c>
      <c r="O33" s="13"/>
      <c r="P33" s="11" t="s">
        <v>29</v>
      </c>
      <c r="Q33" s="11">
        <f>MAX($M$30:$M$70)</f>
        <v>0.010274857945137437</v>
      </c>
    </row>
    <row r="34" spans="11:17" ht="12.75">
      <c r="K34" s="52">
        <f t="shared" si="0"/>
        <v>22.200000000000003</v>
      </c>
      <c r="L34" s="13">
        <v>0.1</v>
      </c>
      <c r="M34" s="53">
        <f t="shared" si="1"/>
        <v>0.0051359414451656125</v>
      </c>
      <c r="N34" s="55">
        <f t="shared" si="2"/>
        <v>0.003250020384815809</v>
      </c>
      <c r="O34" s="13"/>
      <c r="P34" s="33"/>
      <c r="Q34" s="33"/>
    </row>
    <row r="35" spans="11:15" ht="12.75">
      <c r="K35" s="52">
        <f t="shared" si="0"/>
        <v>27.75</v>
      </c>
      <c r="L35" s="13">
        <v>0.125</v>
      </c>
      <c r="M35" s="53">
        <f t="shared" si="1"/>
        <v>0.00713855009186607</v>
      </c>
      <c r="N35" s="55">
        <f t="shared" si="2"/>
        <v>0.007848307187986157</v>
      </c>
      <c r="O35" s="13"/>
    </row>
    <row r="36" spans="11:17" ht="13.5" thickBot="1">
      <c r="K36" s="52">
        <f t="shared" si="0"/>
        <v>33.3</v>
      </c>
      <c r="L36" s="13">
        <v>0.15</v>
      </c>
      <c r="M36" s="53">
        <f t="shared" si="1"/>
        <v>0.008848049681204022</v>
      </c>
      <c r="N36" s="55">
        <f t="shared" si="2"/>
        <v>0.014468793607910297</v>
      </c>
      <c r="O36" s="13"/>
      <c r="P36" s="48" t="s">
        <v>30</v>
      </c>
      <c r="Q36" s="48"/>
    </row>
    <row r="37" spans="11:17" ht="13.5" thickBot="1">
      <c r="K37" s="52">
        <f t="shared" si="0"/>
        <v>38.849999999999994</v>
      </c>
      <c r="L37" s="13">
        <v>0.175</v>
      </c>
      <c r="M37" s="53">
        <f t="shared" si="1"/>
        <v>0.009971605278046376</v>
      </c>
      <c r="N37" s="55">
        <f t="shared" si="2"/>
        <v>0.021439475864599454</v>
      </c>
      <c r="O37" s="13"/>
      <c r="P37" s="49" t="s">
        <v>31</v>
      </c>
      <c r="Q37" s="51">
        <v>0.16</v>
      </c>
    </row>
    <row r="38" spans="11:17" ht="12.75">
      <c r="K38" s="52">
        <f t="shared" si="0"/>
        <v>44.400000000000006</v>
      </c>
      <c r="L38" s="13">
        <v>0.2</v>
      </c>
      <c r="M38" s="53">
        <f t="shared" si="1"/>
        <v>0.010274857945137437</v>
      </c>
      <c r="N38" s="55">
        <f t="shared" si="2"/>
        <v>0.02601522616145048</v>
      </c>
      <c r="O38" s="13"/>
      <c r="P38" s="49" t="s">
        <v>32</v>
      </c>
      <c r="Q38" s="33" t="s">
        <v>33</v>
      </c>
    </row>
    <row r="39" spans="11:17" ht="12.75">
      <c r="K39" s="52">
        <f t="shared" si="0"/>
        <v>49.95</v>
      </c>
      <c r="L39" s="13">
        <v>0.225</v>
      </c>
      <c r="M39" s="53">
        <f t="shared" si="1"/>
        <v>0.009612152806088497</v>
      </c>
      <c r="N39" s="55">
        <f t="shared" si="2"/>
        <v>0.025613551943872583</v>
      </c>
      <c r="O39" s="13"/>
      <c r="P39" s="50">
        <f>ZR1/Spiegeldurchmesser*2</f>
        <v>0.23873873873873874</v>
      </c>
      <c r="Q39" s="33">
        <f>$Q$37*-1</f>
        <v>-0.16</v>
      </c>
    </row>
    <row r="40" spans="11:17" ht="12.75">
      <c r="K40" s="52">
        <f t="shared" si="0"/>
        <v>55.5</v>
      </c>
      <c r="L40" s="13">
        <v>0.25</v>
      </c>
      <c r="M40" s="53">
        <f t="shared" si="1"/>
        <v>0.007945806860091931</v>
      </c>
      <c r="N40" s="55">
        <f t="shared" si="2"/>
        <v>0.01944741916679471</v>
      </c>
      <c r="O40" s="13"/>
      <c r="P40" s="50">
        <f>ZR1/Spiegeldurchmesser*2</f>
        <v>0.23873873873873874</v>
      </c>
      <c r="Q40" s="33">
        <f>$Q$37</f>
        <v>0.16</v>
      </c>
    </row>
    <row r="41" spans="11:17" ht="12.75">
      <c r="K41" s="52">
        <f t="shared" si="0"/>
        <v>61.050000000000004</v>
      </c>
      <c r="L41" s="13">
        <v>0.275</v>
      </c>
      <c r="M41" s="53">
        <f t="shared" si="1"/>
        <v>0.005351401897079555</v>
      </c>
      <c r="N41" s="55">
        <f t="shared" si="2"/>
        <v>0.009703173298378056</v>
      </c>
      <c r="O41" s="13"/>
      <c r="P41"/>
      <c r="Q41"/>
    </row>
    <row r="42" spans="11:17" ht="12.75">
      <c r="K42" s="52">
        <f t="shared" si="0"/>
        <v>66.6</v>
      </c>
      <c r="L42" s="13">
        <v>0.3</v>
      </c>
      <c r="M42" s="53">
        <f t="shared" si="1"/>
        <v>0.002007642977372208</v>
      </c>
      <c r="N42" s="55">
        <f t="shared" si="2"/>
        <v>0.0014898418868789175</v>
      </c>
      <c r="O42" s="13"/>
      <c r="P42" s="50">
        <f>ZR2/Spiegeldurchmesser*2</f>
        <v>0.4337837837837838</v>
      </c>
      <c r="Q42" s="33">
        <f>$Q$37*-1</f>
        <v>-0.16</v>
      </c>
    </row>
    <row r="43" spans="11:17" ht="12.75">
      <c r="K43" s="52">
        <f t="shared" si="0"/>
        <v>72.15</v>
      </c>
      <c r="L43" s="13">
        <v>0.325</v>
      </c>
      <c r="M43" s="53">
        <f t="shared" si="1"/>
        <v>-0.0018287886194976732</v>
      </c>
      <c r="N43" s="55">
        <f t="shared" si="2"/>
        <v>0.0013392336082515878</v>
      </c>
      <c r="O43" s="13"/>
      <c r="P43" s="50">
        <f>ZR2/Spiegeldurchmesser*2</f>
        <v>0.4337837837837838</v>
      </c>
      <c r="Q43" s="33">
        <f>$Q$37</f>
        <v>0.16</v>
      </c>
    </row>
    <row r="44" spans="11:17" ht="12.75">
      <c r="K44" s="52">
        <f t="shared" si="0"/>
        <v>77.69999999999999</v>
      </c>
      <c r="L44" s="13">
        <v>0.35</v>
      </c>
      <c r="M44" s="53">
        <f t="shared" si="1"/>
        <v>-0.005860900770771879</v>
      </c>
      <c r="N44" s="55">
        <f t="shared" si="2"/>
        <v>0.014812990318217117</v>
      </c>
      <c r="O44" s="13"/>
      <c r="P44" s="50"/>
      <c r="Q44" s="33"/>
    </row>
    <row r="45" spans="11:17" ht="12.75">
      <c r="K45" s="52">
        <f t="shared" si="0"/>
        <v>83.25</v>
      </c>
      <c r="L45" s="13">
        <v>0.375</v>
      </c>
      <c r="M45" s="53">
        <f t="shared" si="1"/>
        <v>-0.009797064237247369</v>
      </c>
      <c r="N45" s="55">
        <f t="shared" si="2"/>
        <v>0.0443474994055008</v>
      </c>
      <c r="O45" s="13"/>
      <c r="P45" s="50">
        <f>IF(ZR3&lt;&gt;0,ZR3/Spiegeldurchmesser*2,1)</f>
        <v>0.5788288288288288</v>
      </c>
      <c r="Q45" s="33">
        <f>$Q$37*-1</f>
        <v>-0.16</v>
      </c>
    </row>
    <row r="46" spans="11:17" ht="12.75">
      <c r="K46" s="52">
        <f t="shared" si="0"/>
        <v>88.80000000000001</v>
      </c>
      <c r="L46" s="13">
        <v>0.4</v>
      </c>
      <c r="M46" s="53">
        <f t="shared" si="1"/>
        <v>-0.013398435779625004</v>
      </c>
      <c r="N46" s="55">
        <f t="shared" si="2"/>
        <v>0.08847369120796827</v>
      </c>
      <c r="O46" s="13"/>
      <c r="P46" s="50">
        <f>IF(ZR3&lt;&gt;0,ZR3/Spiegeldurchmesser*2,1)</f>
        <v>0.5788288288288288</v>
      </c>
      <c r="Q46" s="33">
        <f>$Q$37</f>
        <v>0.16</v>
      </c>
    </row>
    <row r="47" spans="11:17" ht="12.75">
      <c r="K47" s="52">
        <f t="shared" si="0"/>
        <v>94.35</v>
      </c>
      <c r="L47" s="13">
        <v>0.425</v>
      </c>
      <c r="M47" s="53">
        <f t="shared" si="1"/>
        <v>-0.01652065447470212</v>
      </c>
      <c r="N47" s="55">
        <f t="shared" si="2"/>
        <v>0.1429188075201096</v>
      </c>
      <c r="O47" s="13"/>
      <c r="P47" s="50"/>
      <c r="Q47" s="33"/>
    </row>
    <row r="48" spans="11:17" ht="12.75">
      <c r="K48" s="52">
        <f t="shared" si="0"/>
        <v>99.9</v>
      </c>
      <c r="L48" s="13">
        <v>0.45</v>
      </c>
      <c r="M48" s="53">
        <f t="shared" si="1"/>
        <v>-0.019141909725047673</v>
      </c>
      <c r="N48" s="55">
        <f aca="true" t="shared" si="3" ref="N48:N63">M48^2*K48*(K48-K47)</f>
        <v>0.20315569384374427</v>
      </c>
      <c r="O48" s="13"/>
      <c r="P48" s="50">
        <f>IF(ZR4&lt;&gt;0,ZR4/Spiegeldurchmesser*2,1)</f>
        <v>0.6963963963963964</v>
      </c>
      <c r="Q48" s="33">
        <f>$Q$37*-1</f>
        <v>-0.16</v>
      </c>
    </row>
    <row r="49" spans="11:17" ht="12.75">
      <c r="K49" s="52">
        <f t="shared" si="0"/>
        <v>105.44999999999999</v>
      </c>
      <c r="L49" s="13">
        <v>0.475</v>
      </c>
      <c r="M49" s="53">
        <f t="shared" si="1"/>
        <v>-0.021370086006441663</v>
      </c>
      <c r="N49" s="55">
        <f t="shared" si="3"/>
        <v>0.2672711653573276</v>
      </c>
      <c r="O49" s="13"/>
      <c r="P49" s="50">
        <f>IF(ZR4&lt;&gt;0,ZR4/Spiegeldurchmesser*2,1)</f>
        <v>0.6963963963963964</v>
      </c>
      <c r="Q49" s="33">
        <f>$Q$37</f>
        <v>0.16</v>
      </c>
    </row>
    <row r="50" spans="11:17" ht="12.75">
      <c r="K50" s="52">
        <f t="shared" si="0"/>
        <v>111</v>
      </c>
      <c r="L50" s="13">
        <v>0.5</v>
      </c>
      <c r="M50" s="53">
        <f t="shared" si="1"/>
        <v>-0.023423519996825126</v>
      </c>
      <c r="N50" s="55">
        <f t="shared" si="3"/>
        <v>0.33800278711411935</v>
      </c>
      <c r="O50" s="13"/>
      <c r="P50"/>
      <c r="Q50"/>
    </row>
    <row r="51" spans="11:17" ht="12.75">
      <c r="K51" s="52">
        <f t="shared" si="0"/>
        <v>116.55000000000001</v>
      </c>
      <c r="L51" s="13">
        <v>0.525</v>
      </c>
      <c r="M51" s="53">
        <f t="shared" si="1"/>
        <v>-0.025583071621744113</v>
      </c>
      <c r="N51" s="55">
        <f t="shared" si="3"/>
        <v>0.4233607913821724</v>
      </c>
      <c r="O51" s="13"/>
      <c r="P51" s="50">
        <f>IF(ZR5&lt;&gt;0,ZR5/Spiegeldurchmesser*2,1)</f>
        <v>0.7968468468468469</v>
      </c>
      <c r="Q51" s="33">
        <f>$Q$37*-1</f>
        <v>-0.16</v>
      </c>
    </row>
    <row r="52" spans="11:17" ht="12.75">
      <c r="K52" s="52">
        <f t="shared" si="0"/>
        <v>122.10000000000001</v>
      </c>
      <c r="L52" s="13">
        <v>0.55</v>
      </c>
      <c r="M52" s="53">
        <f t="shared" si="1"/>
        <v>-0.028117702899964625</v>
      </c>
      <c r="N52" s="55">
        <f t="shared" si="3"/>
        <v>0.5357575778996723</v>
      </c>
      <c r="O52" s="13"/>
      <c r="P52" s="50">
        <f>IF(ZR5&lt;&gt;0,ZR5/Spiegeldurchmesser*2,1)</f>
        <v>0.7968468468468469</v>
      </c>
      <c r="Q52" s="33">
        <f>$Q$37</f>
        <v>0.16</v>
      </c>
    </row>
    <row r="53" spans="11:17" ht="12.75">
      <c r="K53" s="52">
        <f t="shared" si="0"/>
        <v>127.64999999999999</v>
      </c>
      <c r="L53" s="13">
        <v>0.575</v>
      </c>
      <c r="M53" s="53">
        <f t="shared" si="1"/>
        <v>-0.031191402869437557</v>
      </c>
      <c r="N53" s="55">
        <f t="shared" si="3"/>
        <v>0.6892608613811273</v>
      </c>
      <c r="O53" s="13"/>
      <c r="P53"/>
      <c r="Q53"/>
    </row>
    <row r="54" spans="11:17" ht="12.75">
      <c r="K54" s="52">
        <f t="shared" si="0"/>
        <v>133.2</v>
      </c>
      <c r="L54" s="13">
        <v>0.6</v>
      </c>
      <c r="M54" s="53">
        <f t="shared" si="1"/>
        <v>-0.03476570109005461</v>
      </c>
      <c r="N54" s="55">
        <f t="shared" si="3"/>
        <v>0.8935095355499482</v>
      </c>
      <c r="O54" s="13"/>
      <c r="P54" s="50">
        <f>IF(ZR6&lt;&gt;0,ZR6/Spiegeldurchmesser*2,1)</f>
        <v>0.886036036036036</v>
      </c>
      <c r="Q54" s="33">
        <f>$Q$37*-1</f>
        <v>-0.16</v>
      </c>
    </row>
    <row r="55" spans="11:17" ht="12.75">
      <c r="K55" s="52">
        <f t="shared" si="0"/>
        <v>138.75</v>
      </c>
      <c r="L55" s="13">
        <v>0.625</v>
      </c>
      <c r="M55" s="53">
        <f t="shared" si="1"/>
        <v>-0.03851850683625621</v>
      </c>
      <c r="N55" s="55">
        <f t="shared" si="3"/>
        <v>1.14252276375949</v>
      </c>
      <c r="O55" s="13"/>
      <c r="P55" s="50">
        <f>IF(ZR6&lt;&gt;0,ZR6/Spiegeldurchmesser*2,1)</f>
        <v>0.886036036036036</v>
      </c>
      <c r="Q55" s="33">
        <f>$Q$37</f>
        <v>0.16</v>
      </c>
    </row>
    <row r="56" spans="11:17" ht="12.75">
      <c r="K56" s="52">
        <f t="shared" si="0"/>
        <v>144.3</v>
      </c>
      <c r="L56" s="13">
        <v>0.65</v>
      </c>
      <c r="M56" s="53">
        <f t="shared" si="1"/>
        <v>-0.04180558260968614</v>
      </c>
      <c r="N56" s="55">
        <f t="shared" si="3"/>
        <v>1.3996771561960317</v>
      </c>
      <c r="O56" s="13"/>
      <c r="P56" s="50"/>
      <c r="Q56" s="33"/>
    </row>
    <row r="57" spans="11:17" ht="12.75">
      <c r="K57" s="52">
        <f t="shared" si="0"/>
        <v>149.85000000000002</v>
      </c>
      <c r="L57" s="13">
        <v>0.675</v>
      </c>
      <c r="M57" s="53">
        <f t="shared" si="1"/>
        <v>-0.04369417664973868</v>
      </c>
      <c r="N57" s="55">
        <f t="shared" si="3"/>
        <v>1.5878038501112075</v>
      </c>
      <c r="O57" s="13"/>
      <c r="P57" s="50">
        <f>IF(ZR7&lt;&gt;0,ZR7/Spiegeldurchmesser*2,1)</f>
        <v>0.9662162162162162</v>
      </c>
      <c r="Q57" s="33">
        <f>$Q$37*-1</f>
        <v>-0.16</v>
      </c>
    </row>
    <row r="58" spans="11:17" ht="12.75">
      <c r="K58" s="52">
        <f t="shared" si="0"/>
        <v>155.39999999999998</v>
      </c>
      <c r="L58" s="13">
        <v>0.7</v>
      </c>
      <c r="M58" s="53">
        <f t="shared" si="1"/>
        <v>-0.043097265381265126</v>
      </c>
      <c r="N58" s="55">
        <f t="shared" si="3"/>
        <v>1.6019295981549906</v>
      </c>
      <c r="O58" s="13"/>
      <c r="P58" s="50">
        <f>IF(ZR7&lt;&gt;0,ZR7/Spiegeldurchmesser*2,1)</f>
        <v>0.9662162162162162</v>
      </c>
      <c r="Q58" s="33">
        <f>$Q$37</f>
        <v>0.16</v>
      </c>
    </row>
    <row r="59" spans="11:16" ht="12.75">
      <c r="K59" s="52">
        <f t="shared" si="0"/>
        <v>160.95</v>
      </c>
      <c r="L59" s="13">
        <v>0.725</v>
      </c>
      <c r="M59" s="53">
        <f t="shared" si="1"/>
        <v>-0.03902896520211352</v>
      </c>
      <c r="N59" s="55">
        <f t="shared" si="3"/>
        <v>1.3606863797837712</v>
      </c>
      <c r="O59" s="13"/>
      <c r="P59" s="33"/>
    </row>
    <row r="60" spans="11:16" ht="12.75">
      <c r="K60" s="52">
        <f t="shared" si="0"/>
        <v>166.5</v>
      </c>
      <c r="L60" s="13">
        <v>0.75</v>
      </c>
      <c r="M60" s="53">
        <f t="shared" si="1"/>
        <v>-0.030983741166247303</v>
      </c>
      <c r="N60" s="55">
        <f t="shared" si="3"/>
        <v>0.8871048076073262</v>
      </c>
      <c r="O60" s="13"/>
      <c r="P60" s="33"/>
    </row>
    <row r="61" spans="11:16" ht="12.75">
      <c r="K61" s="52">
        <f t="shared" si="0"/>
        <v>172.05</v>
      </c>
      <c r="L61" s="13">
        <v>0.775</v>
      </c>
      <c r="M61" s="53">
        <f t="shared" si="1"/>
        <v>-0.01941004069901353</v>
      </c>
      <c r="N61" s="55">
        <f t="shared" si="3"/>
        <v>0.3597497925043889</v>
      </c>
      <c r="O61" s="13"/>
      <c r="P61"/>
    </row>
    <row r="62" spans="11:16" ht="12.75">
      <c r="K62" s="52">
        <f t="shared" si="0"/>
        <v>177.60000000000002</v>
      </c>
      <c r="L62" s="13">
        <v>0.8</v>
      </c>
      <c r="M62" s="53">
        <f t="shared" si="1"/>
        <v>-0.006197961402599705</v>
      </c>
      <c r="N62" s="55">
        <f t="shared" si="3"/>
        <v>0.037864626678266775</v>
      </c>
      <c r="O62" s="13"/>
      <c r="P62"/>
    </row>
    <row r="63" spans="11:16" ht="12.75">
      <c r="K63" s="52">
        <f t="shared" si="0"/>
        <v>183.14999999999998</v>
      </c>
      <c r="L63" s="13">
        <v>0.825</v>
      </c>
      <c r="M63" s="53">
        <f t="shared" si="1"/>
        <v>0.004975483932179503</v>
      </c>
      <c r="N63" s="55">
        <f t="shared" si="3"/>
        <v>0.025163471905099623</v>
      </c>
      <c r="O63" s="13"/>
      <c r="P63" s="33"/>
    </row>
    <row r="64" spans="11:16" ht="12.75">
      <c r="K64" s="52">
        <f t="shared" si="0"/>
        <v>188.7</v>
      </c>
      <c r="L64" s="13">
        <v>0.85</v>
      </c>
      <c r="M64" s="53">
        <f t="shared" si="1"/>
        <v>0.008708218004614576</v>
      </c>
      <c r="N64" s="55">
        <f aca="true" t="shared" si="4" ref="N64:N70">M64^2*K64*(K64-K63)</f>
        <v>0.07941882709657315</v>
      </c>
      <c r="O64" s="13"/>
      <c r="P64" s="33"/>
    </row>
    <row r="65" spans="11:16" ht="12.75">
      <c r="K65" s="52">
        <f t="shared" si="0"/>
        <v>194.25</v>
      </c>
      <c r="L65" s="13">
        <v>0.875</v>
      </c>
      <c r="M65" s="53">
        <f t="shared" si="1"/>
        <v>-0.0012441645564905124</v>
      </c>
      <c r="N65" s="55">
        <f t="shared" si="4"/>
        <v>0.0016688206334564784</v>
      </c>
      <c r="O65" s="13"/>
      <c r="P65"/>
    </row>
    <row r="66" spans="11:16" ht="12.75">
      <c r="K66" s="52">
        <f t="shared" si="0"/>
        <v>199.8</v>
      </c>
      <c r="L66" s="13">
        <v>0.9</v>
      </c>
      <c r="M66" s="53">
        <f t="shared" si="1"/>
        <v>-0.029651104379857185</v>
      </c>
      <c r="N66" s="55">
        <f t="shared" si="4"/>
        <v>0.9749227712792093</v>
      </c>
      <c r="O66" s="13"/>
      <c r="P66"/>
    </row>
    <row r="67" spans="11:16" ht="12.75">
      <c r="K67" s="52">
        <f t="shared" si="0"/>
        <v>205.35000000000002</v>
      </c>
      <c r="L67" s="13">
        <v>0.925</v>
      </c>
      <c r="M67" s="53">
        <f t="shared" si="1"/>
        <v>-0.07517906531015062</v>
      </c>
      <c r="N67" s="55">
        <f t="shared" si="4"/>
        <v>6.441418764687781</v>
      </c>
      <c r="O67" s="13"/>
      <c r="P67" s="33"/>
    </row>
    <row r="68" spans="11:15" ht="12.75">
      <c r="K68" s="52">
        <f t="shared" si="0"/>
        <v>210.89999999999998</v>
      </c>
      <c r="L68" s="13">
        <v>0.95</v>
      </c>
      <c r="M68" s="53">
        <f t="shared" si="1"/>
        <v>-0.12223793474333966</v>
      </c>
      <c r="N68" s="55">
        <f t="shared" si="4"/>
        <v>17.489668193452413</v>
      </c>
      <c r="O68" s="13"/>
    </row>
    <row r="69" spans="11:15" ht="12.75">
      <c r="K69" s="52">
        <f t="shared" si="0"/>
        <v>216.45</v>
      </c>
      <c r="L69" s="13">
        <v>0.975</v>
      </c>
      <c r="M69" s="53">
        <f t="shared" si="1"/>
        <v>-0.12765635459815317</v>
      </c>
      <c r="N69" s="55">
        <f t="shared" si="4"/>
        <v>19.576518091115247</v>
      </c>
      <c r="O69" s="13"/>
    </row>
    <row r="70" spans="11:15" ht="12.75">
      <c r="K70" s="52">
        <f t="shared" si="0"/>
        <v>222</v>
      </c>
      <c r="L70" s="13">
        <v>1</v>
      </c>
      <c r="M70" s="53">
        <f t="shared" si="1"/>
        <v>-4.440892098500626E-16</v>
      </c>
      <c r="N70" s="55">
        <f t="shared" si="4"/>
        <v>2.429888803307027E-28</v>
      </c>
      <c r="O70" s="13"/>
    </row>
    <row r="71" spans="12:15" ht="12.75">
      <c r="L71" s="56"/>
      <c r="M71" s="57" t="s">
        <v>34</v>
      </c>
      <c r="N71" s="58">
        <f>SUM(N30:N70)</f>
        <v>56.73866534864709</v>
      </c>
      <c r="O71" s="58"/>
    </row>
    <row r="72" spans="12:14" ht="12.75">
      <c r="L72" s="13"/>
      <c r="M72" s="13" t="s">
        <v>35</v>
      </c>
      <c r="N72" s="11">
        <f>SQRT(N71/(PI()/4*Spiegeldurchmesser^2))</f>
        <v>0.019143072629975083</v>
      </c>
    </row>
  </sheetData>
  <printOptions/>
  <pageMargins left="0.75" right="0.51" top="0.51" bottom="0.74" header="0.4" footer="0.46"/>
  <pageSetup horizontalDpi="300" verticalDpi="300" orientation="portrait" paperSize="9" r:id="rId4"/>
  <headerFooter alignWithMargins="0"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2002-02-12T19:03:39Z</cp:lastPrinted>
  <dcterms:created xsi:type="dcterms:W3CDTF">2000-09-15T12:32:31Z</dcterms:created>
  <dcterms:modified xsi:type="dcterms:W3CDTF">2002-02-22T21:06:33Z</dcterms:modified>
  <cp:category/>
  <cp:version/>
  <cp:contentType/>
  <cp:contentStatus/>
</cp:coreProperties>
</file>