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605" windowWidth="10950" windowHeight="8265" tabRatio="346" firstSheet="0" activeTab="0"/>
  </bookViews>
  <sheets>
    <sheet name="Fehler Kurve" sheetId="1" r:id="rId1"/>
    <sheet name="Couder Maske 10 Zonen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AnzZonen">'Fehler Kurve'!$B$9</definedName>
    <definedName name="_xlnm.Print_Area" localSheetId="0">'Fehler Kurve'!$A$1:$L$61</definedName>
    <definedName name="Kurvenradius">'Fehler Kurve'!$B$6</definedName>
    <definedName name="Max">'Fehler Kurve'!$S$33</definedName>
    <definedName name="min">'Fehler Kurve'!$S$32</definedName>
    <definedName name="ParabolGrad">'Fehler Kurve'!$B$10</definedName>
    <definedName name="RMS">'Fehler Kurve'!$P$72</definedName>
    <definedName name="Spiegeldurchmesser">'Fehler Kurve'!$B$5</definedName>
    <definedName name="ZM1">'Fehler Kurve'!$B$18</definedName>
    <definedName name="ZM10">'Fehler Kurve'!$K$18</definedName>
    <definedName name="ZM2">'Fehler Kurve'!$C$18</definedName>
    <definedName name="ZM3">'Fehler Kurve'!$D$18</definedName>
    <definedName name="ZM4">'Fehler Kurve'!$E$18</definedName>
    <definedName name="ZM5">'Fehler Kurve'!$F$18</definedName>
    <definedName name="ZM6">'Fehler Kurve'!$G$18</definedName>
    <definedName name="ZM7">'Fehler Kurve'!$H$18</definedName>
    <definedName name="ZM8">'Fehler Kurve'!$I$18</definedName>
    <definedName name="ZM9">'Fehler Kurve'!$J$18</definedName>
    <definedName name="ZR1">'Fehler Kurve'!$B$14</definedName>
    <definedName name="ZR10">'Fehler Kurve'!$K$14</definedName>
    <definedName name="ZR2">'Fehler Kurve'!$C$14</definedName>
    <definedName name="ZR3">'Fehler Kurve'!$D$14</definedName>
    <definedName name="ZR4">'Fehler Kurve'!$E$14</definedName>
    <definedName name="ZR5">'Fehler Kurve'!$F$14</definedName>
    <definedName name="ZR6">'Fehler Kurve'!$G$14</definedName>
    <definedName name="ZR7">'Fehler Kurve'!$H$14</definedName>
    <definedName name="ZR8">'Fehler Kurve'!$I$14</definedName>
    <definedName name="ZR9">'Fehler Kurve'!$J$14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A14" authorId="0">
      <text>
        <r>
          <rPr>
            <sz val="8"/>
            <rFont val="Tahoma"/>
            <family val="0"/>
          </rPr>
          <t>Mittlere Zonen Radien aus "Couder Maske" ermitteln</t>
        </r>
      </text>
    </comment>
    <comment ref="A16" authorId="0">
      <text>
        <r>
          <rPr>
            <sz val="8"/>
            <rFont val="Tahoma"/>
            <family val="0"/>
          </rPr>
          <t>Ablesewerte der mittleren Krümmungsradien am Tester bezogen auf "moving light source"</t>
        </r>
      </text>
    </comment>
    <comment ref="A17" authorId="0">
      <text>
        <r>
          <rPr>
            <sz val="8"/>
            <rFont val="Tahoma"/>
            <family val="0"/>
          </rPr>
          <t xml:space="preserve">Umrechnung für Konfiguration "fixed light source". 
</t>
        </r>
      </text>
    </comment>
    <comment ref="L19" authorId="0">
      <text>
        <r>
          <rPr>
            <sz val="8"/>
            <rFont val="Tahoma"/>
            <family val="0"/>
          </rPr>
          <t>Delta R gesamt theoretisch über den gesamten Spiegelradius mit Delta R = Spiegelradius^2 / Kurvenradius</t>
        </r>
      </text>
    </comment>
    <comment ref="L17" authorId="0">
      <text>
        <r>
          <rPr>
            <sz val="8"/>
            <rFont val="Tahoma"/>
            <family val="0"/>
          </rPr>
          <t>Hier zur Kontrolle die gesamt Brennweitendifferenz
"Rand - Mitte", gemessen ohne Masken eintragen.
(Moving light source!)
Geht nicht in die Rechnung ein</t>
        </r>
      </text>
    </comment>
  </commentList>
</comments>
</file>

<file path=xl/sharedStrings.xml><?xml version="1.0" encoding="utf-8"?>
<sst xmlns="http://schemas.openxmlformats.org/spreadsheetml/2006/main" count="64" uniqueCount="58">
  <si>
    <t>Foucault Test Analyse</t>
  </si>
  <si>
    <t xml:space="preserve">Messung vom: </t>
  </si>
  <si>
    <t>Spiegeldurchmesser:</t>
  </si>
  <si>
    <t>Kurvenradius:</t>
  </si>
  <si>
    <t>Brennweite:</t>
  </si>
  <si>
    <t>Öffnungsverhältnis:</t>
  </si>
  <si>
    <t>Anzahl der Zonen:</t>
  </si>
  <si>
    <t>Parabolisierungsgrad:</t>
  </si>
  <si>
    <t>( 0= Sphäre; 1= Parabel; &lt;0 &lt;1: Ellipse)</t>
  </si>
  <si>
    <t>Zone Nr.</t>
  </si>
  <si>
    <t>Gesamt</t>
  </si>
  <si>
    <t>Mitte-Rand</t>
  </si>
  <si>
    <t>Zonen Radius [mm]</t>
  </si>
  <si>
    <t>Rel. Zonen Radius</t>
  </si>
  <si>
    <t>Foucoult Position [mm]</t>
  </si>
  <si>
    <t>[Zonen Messung</t>
  </si>
  <si>
    <r>
      <t>D</t>
    </r>
    <r>
      <rPr>
        <sz val="10"/>
        <rFont val="Helvetica"/>
        <family val="2"/>
      </rPr>
      <t>R theor. -Z1 [mm]</t>
    </r>
  </si>
  <si>
    <t>Differenz [mm]</t>
  </si>
  <si>
    <t>Theor. Differenz [mm]</t>
  </si>
  <si>
    <t>Korrektur</t>
  </si>
  <si>
    <t>Wavefront error (peak to valley):</t>
  </si>
  <si>
    <t>Surface error (peak to valley):</t>
  </si>
  <si>
    <t>Bezogen auf Parabolisierungsgrad:</t>
  </si>
  <si>
    <t>WE^2* Ai</t>
  </si>
  <si>
    <t>Radius</t>
  </si>
  <si>
    <t>Rel. Radius</t>
  </si>
  <si>
    <t>min</t>
  </si>
  <si>
    <t>Max</t>
  </si>
  <si>
    <t>Zonen darstellen</t>
  </si>
  <si>
    <t>Linienhöhe ---&gt;</t>
  </si>
  <si>
    <t>x</t>
  </si>
  <si>
    <t>y</t>
  </si>
  <si>
    <t xml:space="preserve">summe WEi^2*Ai= </t>
  </si>
  <si>
    <t xml:space="preserve">RMS= </t>
  </si>
  <si>
    <t xml:space="preserve"> - ZM(1) ] x 2</t>
  </si>
  <si>
    <r>
      <t>D</t>
    </r>
    <r>
      <rPr>
        <sz val="10"/>
        <rFont val="Helvetica"/>
        <family val="2"/>
      </rPr>
      <t>R gesamt ohne Maske gemessen ---&gt;</t>
    </r>
  </si>
  <si>
    <t>Gert´s Tester.</t>
  </si>
  <si>
    <t>Grüne Werte für "Moving light Surce" eintragen</t>
  </si>
  <si>
    <t>Zone</t>
  </si>
  <si>
    <t>r mittel</t>
  </si>
  <si>
    <t>r aussen</t>
  </si>
  <si>
    <t>r innen</t>
  </si>
  <si>
    <t>rm^2/R</t>
  </si>
  <si>
    <t>Berechnung der Couder Maske</t>
  </si>
  <si>
    <t>Breite</t>
  </si>
  <si>
    <t>Breite Außenzone</t>
  </si>
  <si>
    <t>a</t>
  </si>
  <si>
    <t>Abstand der Zonen</t>
  </si>
  <si>
    <t>Diff</t>
  </si>
  <si>
    <t>Grüne Werte eintragen</t>
  </si>
  <si>
    <t>Tatsächlich gemessene Werte</t>
  </si>
  <si>
    <r>
      <t>Wavefront Error [</t>
    </r>
    <r>
      <rPr>
        <sz val="10"/>
        <rFont val="Symbol"/>
        <family val="1"/>
      </rPr>
      <t>l</t>
    </r>
    <r>
      <rPr>
        <sz val="10"/>
        <rFont val="Arial"/>
        <family val="0"/>
      </rPr>
      <t>]</t>
    </r>
  </si>
  <si>
    <t>(minimal 2; maximal 10)</t>
  </si>
  <si>
    <t>%</t>
  </si>
  <si>
    <t>4 Messungen (2normal, 2 mit umgedrehter Maske)</t>
  </si>
  <si>
    <t>Strehl Ratio:</t>
  </si>
  <si>
    <t>24" f/4,1 Kyklopas</t>
  </si>
  <si>
    <t>Wavefront RMS:</t>
  </si>
</sst>
</file>

<file path=xl/styles.xml><?xml version="1.0" encoding="utf-8"?>
<styleSheet xmlns="http://schemas.openxmlformats.org/spreadsheetml/2006/main">
  <numFmts count="2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&quot; mm&quot;"/>
    <numFmt numFmtId="165" formatCode="&quot;f/ &quot;0.00"/>
    <numFmt numFmtId="166" formatCode="0.0%"/>
    <numFmt numFmtId="167" formatCode="&quot;L / &quot;0.0"/>
    <numFmt numFmtId="168" formatCode="&quot;l / &quot;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&quot;l/ &quot;0.0"/>
    <numFmt numFmtId="175" formatCode="0.0"/>
    <numFmt numFmtId="176" formatCode="#,##0&quot; mm&quot;"/>
    <numFmt numFmtId="177" formatCode="0.0E+00"/>
    <numFmt numFmtId="178" formatCode="0E+00"/>
    <numFmt numFmtId="179" formatCode="0.000E+00"/>
    <numFmt numFmtId="180" formatCode="#,##0&quot; mm^2&quot;"/>
    <numFmt numFmtId="181" formatCode="#,##0.0&quot; mm^2&quot;"/>
    <numFmt numFmtId="182" formatCode="#,##0.00&quot; mm^2&quot;"/>
    <numFmt numFmtId="183" formatCode="0.00&quot; l&quot;"/>
    <numFmt numFmtId="184" formatCode="0.00000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Helv"/>
      <family val="0"/>
    </font>
    <font>
      <sz val="10"/>
      <name val="Symbol"/>
      <family val="1"/>
    </font>
    <font>
      <sz val="10"/>
      <name val="Helvetica"/>
      <family val="2"/>
    </font>
    <font>
      <b/>
      <sz val="12"/>
      <name val="Arial"/>
      <family val="2"/>
    </font>
    <font>
      <b/>
      <sz val="12"/>
      <name val="Symbol"/>
      <family val="1"/>
    </font>
    <font>
      <sz val="8"/>
      <name val="Arial"/>
      <family val="2"/>
    </font>
    <font>
      <b/>
      <sz val="11.5"/>
      <name val="Arial"/>
      <family val="2"/>
    </font>
    <font>
      <b/>
      <sz val="10"/>
      <color indexed="17"/>
      <name val="Arial"/>
      <family val="2"/>
    </font>
    <font>
      <sz val="8"/>
      <name val="Helvetica"/>
      <family val="0"/>
    </font>
    <font>
      <b/>
      <sz val="10"/>
      <name val="Helvetica"/>
      <family val="0"/>
    </font>
    <font>
      <sz val="8"/>
      <name val="Tahoma"/>
      <family val="0"/>
    </font>
    <font>
      <b/>
      <sz val="14"/>
      <color indexed="12"/>
      <name val="Arial"/>
      <family val="2"/>
    </font>
    <font>
      <sz val="12"/>
      <color indexed="50"/>
      <name val="Arial"/>
      <family val="2"/>
    </font>
    <font>
      <sz val="9.25"/>
      <name val="Helvetic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9" fontId="0" fillId="0" borderId="1" xfId="0" applyNumberFormat="1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 horizontal="right"/>
      <protection/>
    </xf>
    <xf numFmtId="2" fontId="0" fillId="0" borderId="2" xfId="0" applyNumberFormat="1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 horizontal="left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 horizontal="right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2" fontId="11" fillId="2" borderId="2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4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9" fontId="0" fillId="0" borderId="16" xfId="0" applyNumberFormat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>
      <alignment horizontal="center"/>
    </xf>
    <xf numFmtId="173" fontId="0" fillId="0" borderId="0" xfId="0" applyNumberFormat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/>
      <protection locked="0"/>
    </xf>
    <xf numFmtId="2" fontId="11" fillId="0" borderId="19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71" fontId="1" fillId="0" borderId="0" xfId="0" applyNumberFormat="1" applyFon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16" fillId="0" borderId="0" xfId="0" applyFont="1" applyAlignment="1" applyProtection="1">
      <alignment horizontal="right"/>
      <protection locked="0"/>
    </xf>
    <xf numFmtId="175" fontId="0" fillId="0" borderId="18" xfId="0" applyNumberFormat="1" applyBorder="1" applyAlignment="1" applyProtection="1">
      <alignment horizontal="right"/>
      <protection locked="0"/>
    </xf>
    <xf numFmtId="175" fontId="0" fillId="0" borderId="1" xfId="0" applyNumberFormat="1" applyFon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80" fontId="0" fillId="0" borderId="0" xfId="0" applyNumberFormat="1" applyFont="1" applyBorder="1" applyAlignment="1" applyProtection="1">
      <alignment/>
      <protection locked="0"/>
    </xf>
    <xf numFmtId="175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9" fontId="0" fillId="0" borderId="3" xfId="0" applyNumberFormat="1" applyBorder="1" applyAlignment="1" applyProtection="1">
      <alignment horizontal="left"/>
      <protection/>
    </xf>
    <xf numFmtId="9" fontId="0" fillId="0" borderId="20" xfId="0" applyNumberFormat="1" applyBorder="1" applyAlignment="1" applyProtection="1">
      <alignment horizontal="center"/>
      <protection/>
    </xf>
    <xf numFmtId="1" fontId="7" fillId="0" borderId="0" xfId="0" applyNumberFormat="1" applyFont="1" applyAlignment="1" applyProtection="1">
      <alignment horizontal="center"/>
      <protection locked="0"/>
    </xf>
    <xf numFmtId="183" fontId="5" fillId="0" borderId="0" xfId="0" applyNumberFormat="1" applyFont="1" applyAlignment="1" applyProtection="1">
      <alignment horizontal="center"/>
      <protection locked="0"/>
    </xf>
    <xf numFmtId="173" fontId="10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Wavefront Error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1"/>
          <c:h val="0.94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'Fehler Kurve'!$O$29</c:f>
              <c:strCache>
                <c:ptCount val="1"/>
                <c:pt idx="0">
                  <c:v>Wavefront Error [l]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xVal>
            <c:numRef>
              <c:f>'Fehler Kurve'!$N$30:$N$70</c:f>
              <c:numCache/>
            </c:numRef>
          </c:xVal>
          <c:yVal>
            <c:numRef>
              <c:f>'Fehler Kurve'!$O$30:$O$70</c:f>
              <c:numCache/>
            </c:numRef>
          </c:yVal>
          <c:smooth val="0"/>
        </c:ser>
        <c:ser>
          <c:idx val="1"/>
          <c:order val="1"/>
          <c:tx>
            <c:strRef>
              <c:f>'Fehler Kurve'!$S$38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Zone 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'Fehler Kurve'!$R$39:$R$67</c:f>
              <c:numCache/>
            </c:numRef>
          </c:xVal>
          <c:yVal>
            <c:numRef>
              <c:f>'Fehler Kurve'!$S$39:$S$67</c:f>
              <c:numCache/>
            </c:numRef>
          </c:yVal>
          <c:smooth val="0"/>
        </c:ser>
        <c:axId val="42074041"/>
        <c:axId val="43122050"/>
      </c:scatterChart>
      <c:valAx>
        <c:axId val="4207404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Rel. Radius ---&gt;</a:t>
                </a:r>
              </a:p>
            </c:rich>
          </c:tx>
          <c:layout>
            <c:manualLayout>
              <c:xMode val="factor"/>
              <c:yMode val="factor"/>
              <c:x val="0.00475"/>
              <c:y val="0.1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25400">
            <a:solidFill>
              <a:srgbClr val="000000"/>
            </a:solidFill>
          </a:ln>
        </c:spPr>
        <c:crossAx val="43122050"/>
        <c:crosses val="autoZero"/>
        <c:crossBetween val="midCat"/>
        <c:dispUnits/>
      </c:valAx>
      <c:valAx>
        <c:axId val="4312205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in"/>
        <c:tickLblPos val="nextTo"/>
        <c:crossAx val="420740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0.19275</cdr:y>
    </cdr:from>
    <cdr:to>
      <cdr:x>0.03675</cdr:x>
      <cdr:y>0.2295</cdr:y>
    </cdr:to>
    <cdr:sp>
      <cdr:nvSpPr>
        <cdr:cNvPr id="1" name="Text 1"/>
        <cdr:cNvSpPr txBox="1">
          <a:spLocks noChangeArrowheads="1"/>
        </cdr:cNvSpPr>
      </cdr:nvSpPr>
      <cdr:spPr>
        <a:xfrm>
          <a:off x="19050" y="1047750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l</a:t>
          </a:r>
        </a:p>
      </cdr:txBody>
    </cdr:sp>
  </cdr:relSizeAnchor>
  <cdr:relSizeAnchor xmlns:cdr="http://schemas.openxmlformats.org/drawingml/2006/chartDrawing">
    <cdr:from>
      <cdr:x>0.82975</cdr:x>
      <cdr:y>0.0625</cdr:y>
    </cdr:from>
    <cdr:to>
      <cdr:x>0.8615</cdr:x>
      <cdr:y>0.11</cdr:y>
    </cdr:to>
    <cdr:sp>
      <cdr:nvSpPr>
        <cdr:cNvPr id="2" name="TextBox 2"/>
        <cdr:cNvSpPr txBox="1">
          <a:spLocks noChangeArrowheads="1"/>
        </cdr:cNvSpPr>
      </cdr:nvSpPr>
      <cdr:spPr>
        <a:xfrm>
          <a:off x="5438775" y="333375"/>
          <a:ext cx="209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8</a:t>
          </a:r>
        </a:p>
      </cdr:txBody>
    </cdr:sp>
  </cdr:relSizeAnchor>
  <cdr:relSizeAnchor xmlns:cdr="http://schemas.openxmlformats.org/drawingml/2006/chartDrawing">
    <cdr:from>
      <cdr:x>0.8885</cdr:x>
      <cdr:y>0.05175</cdr:y>
    </cdr:from>
    <cdr:to>
      <cdr:x>0.9195</cdr:x>
      <cdr:y>0.11</cdr:y>
    </cdr:to>
    <cdr:sp>
      <cdr:nvSpPr>
        <cdr:cNvPr id="3" name="TextBox 4"/>
        <cdr:cNvSpPr txBox="1">
          <a:spLocks noChangeArrowheads="1"/>
        </cdr:cNvSpPr>
      </cdr:nvSpPr>
      <cdr:spPr>
        <a:xfrm>
          <a:off x="5829300" y="276225"/>
          <a:ext cx="2000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9</a:t>
          </a:r>
        </a:p>
      </cdr:txBody>
    </cdr:sp>
  </cdr:relSizeAnchor>
  <cdr:relSizeAnchor xmlns:cdr="http://schemas.openxmlformats.org/drawingml/2006/chartDrawing">
    <cdr:from>
      <cdr:x>0.9345</cdr:x>
      <cdr:y>0.0625</cdr:y>
    </cdr:from>
    <cdr:to>
      <cdr:x>0.9775</cdr:x>
      <cdr:y>0.11</cdr:y>
    </cdr:to>
    <cdr:sp>
      <cdr:nvSpPr>
        <cdr:cNvPr id="4" name="TextBox 5"/>
        <cdr:cNvSpPr txBox="1">
          <a:spLocks noChangeArrowheads="1"/>
        </cdr:cNvSpPr>
      </cdr:nvSpPr>
      <cdr:spPr>
        <a:xfrm>
          <a:off x="6124575" y="333375"/>
          <a:ext cx="285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11</xdr:col>
      <xdr:colOff>638175</xdr:colOff>
      <xdr:row>60</xdr:row>
      <xdr:rowOff>95250</xdr:rowOff>
    </xdr:to>
    <xdr:graphicFrame>
      <xdr:nvGraphicFramePr>
        <xdr:cNvPr id="1" name="Chart 6"/>
        <xdr:cNvGraphicFramePr/>
      </xdr:nvGraphicFramePr>
      <xdr:xfrm>
        <a:off x="19050" y="4752975"/>
        <a:ext cx="65627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72"/>
  <sheetViews>
    <sheetView showGridLines="0" tabSelected="1" workbookViewId="0" topLeftCell="A1">
      <selection activeCell="K26" sqref="K26"/>
    </sheetView>
  </sheetViews>
  <sheetFormatPr defaultColWidth="11.421875" defaultRowHeight="12.75"/>
  <cols>
    <col min="1" max="1" width="20.8515625" style="8" customWidth="1"/>
    <col min="2" max="2" width="9.140625" style="8" customWidth="1"/>
    <col min="3" max="11" width="6.57421875" style="8" customWidth="1"/>
    <col min="12" max="12" width="11.7109375" style="8" customWidth="1"/>
    <col min="13" max="16384" width="11.421875" style="8" customWidth="1"/>
  </cols>
  <sheetData>
    <row r="1" ht="12.75">
      <c r="L1" s="9" t="str">
        <f ca="1">CELL("filename",$A$2)</f>
        <v>C:\Eigene Dateien\Stathis\Webs\[foucault_24zoll_10zonen.xls]Fehler Kurve</v>
      </c>
    </row>
    <row r="2" spans="1:12" ht="22.5" customHeight="1">
      <c r="A2" s="52" t="s">
        <v>0</v>
      </c>
      <c r="K2" s="10" t="s">
        <v>1</v>
      </c>
      <c r="L2" s="53">
        <v>36913</v>
      </c>
    </row>
    <row r="3" spans="1:12" ht="18">
      <c r="A3" s="52" t="s">
        <v>56</v>
      </c>
      <c r="E3" s="40"/>
      <c r="G3"/>
      <c r="L3" s="54" t="s">
        <v>37</v>
      </c>
    </row>
    <row r="4" ht="9" customHeight="1" thickBot="1"/>
    <row r="5" spans="1:5" ht="13.5" thickBot="1">
      <c r="A5" s="8" t="s">
        <v>2</v>
      </c>
      <c r="B5" s="38">
        <v>609</v>
      </c>
      <c r="E5" s="8" t="s">
        <v>36</v>
      </c>
    </row>
    <row r="6" spans="1:5" ht="13.5" thickBot="1">
      <c r="A6" s="8" t="s">
        <v>3</v>
      </c>
      <c r="B6" s="39">
        <v>5035</v>
      </c>
      <c r="E6" s="8" t="s">
        <v>54</v>
      </c>
    </row>
    <row r="7" spans="1:2" ht="12.75">
      <c r="A7" s="8" t="s">
        <v>4</v>
      </c>
      <c r="B7" s="34">
        <f>Kurvenradius/2</f>
        <v>2517.5</v>
      </c>
    </row>
    <row r="8" spans="1:2" ht="13.5" thickBot="1">
      <c r="A8" s="8" t="s">
        <v>5</v>
      </c>
      <c r="B8" s="33">
        <f>B6/2/B5</f>
        <v>4.133825944170772</v>
      </c>
    </row>
    <row r="9" spans="1:3" ht="13.5" thickBot="1">
      <c r="A9" s="8" t="s">
        <v>6</v>
      </c>
      <c r="B9" s="37">
        <v>10</v>
      </c>
      <c r="C9" s="11" t="s">
        <v>52</v>
      </c>
    </row>
    <row r="10" spans="1:3" ht="13.5" thickBot="1">
      <c r="A10" s="8" t="s">
        <v>7</v>
      </c>
      <c r="B10" s="37">
        <v>1</v>
      </c>
      <c r="C10" s="11" t="s">
        <v>8</v>
      </c>
    </row>
    <row r="11" ht="12.75"/>
    <row r="12" spans="1:12" ht="12.75">
      <c r="A12" s="12" t="s">
        <v>9</v>
      </c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3">
        <v>9</v>
      </c>
      <c r="K12" s="13">
        <v>10</v>
      </c>
      <c r="L12" s="14" t="s">
        <v>10</v>
      </c>
    </row>
    <row r="13" spans="1:12" ht="13.5" thickBot="1">
      <c r="A13" s="15"/>
      <c r="B13" s="36"/>
      <c r="C13" s="36"/>
      <c r="D13" s="36"/>
      <c r="E13" s="36"/>
      <c r="F13" s="16"/>
      <c r="G13" s="16"/>
      <c r="H13" s="16"/>
      <c r="I13" s="16"/>
      <c r="J13" s="16"/>
      <c r="K13" s="16"/>
      <c r="L13" s="17" t="s">
        <v>11</v>
      </c>
    </row>
    <row r="14" spans="1:12" ht="13.5" thickBot="1">
      <c r="A14" s="18" t="s">
        <v>12</v>
      </c>
      <c r="B14" s="55">
        <f>'Couder Maske 10 Zonen'!B24</f>
        <v>38.35</v>
      </c>
      <c r="C14" s="55">
        <f>'Couder Maske 10 Zonen'!B25</f>
        <v>100.35</v>
      </c>
      <c r="D14" s="55">
        <f>'Couder Maske 10 Zonen'!B26</f>
        <v>140.89999999999998</v>
      </c>
      <c r="E14" s="55">
        <f>'Couder Maske 10 Zonen'!B27</f>
        <v>171.95</v>
      </c>
      <c r="F14" s="55">
        <f>'Couder Maske 10 Zonen'!B28</f>
        <v>198.15</v>
      </c>
      <c r="G14" s="55">
        <f>'Couder Maske 10 Zonen'!B29</f>
        <v>221</v>
      </c>
      <c r="H14" s="55">
        <f>'Couder Maske 10 Zonen'!B30</f>
        <v>241.8</v>
      </c>
      <c r="I14" s="55">
        <f>'Couder Maske 10 Zonen'!B31</f>
        <v>261.3</v>
      </c>
      <c r="J14" s="55">
        <f>'Couder Maske 10 Zonen'!B32</f>
        <v>279.75</v>
      </c>
      <c r="K14" s="55">
        <f>'Couder Maske 10 Zonen'!B33</f>
        <v>296.95</v>
      </c>
      <c r="L14" s="56">
        <f>Spiegeldurchmesser/2</f>
        <v>304.5</v>
      </c>
    </row>
    <row r="15" spans="1:12" ht="12.75">
      <c r="A15" s="18" t="s">
        <v>13</v>
      </c>
      <c r="B15" s="35">
        <f>B14/Spiegeldurchmesser*2</f>
        <v>0.12594417077175699</v>
      </c>
      <c r="C15" s="35">
        <f>C14/Spiegeldurchmesser*2</f>
        <v>0.3295566502463054</v>
      </c>
      <c r="D15" s="35">
        <f aca="true" t="shared" si="0" ref="D15:K15">IF(D14&lt;&gt;0,D14/Spiegeldurchmesser*2,"")</f>
        <v>0.4627257799671592</v>
      </c>
      <c r="E15" s="35">
        <f t="shared" si="0"/>
        <v>0.5646962233169129</v>
      </c>
      <c r="F15" s="35">
        <f t="shared" si="0"/>
        <v>0.6507389162561577</v>
      </c>
      <c r="G15" s="35">
        <f t="shared" si="0"/>
        <v>0.7257799671592775</v>
      </c>
      <c r="H15" s="35">
        <f t="shared" si="0"/>
        <v>0.7940886699507389</v>
      </c>
      <c r="I15" s="35">
        <f t="shared" si="0"/>
        <v>0.858128078817734</v>
      </c>
      <c r="J15" s="35">
        <f t="shared" si="0"/>
        <v>0.9187192118226601</v>
      </c>
      <c r="K15" s="35">
        <f t="shared" si="0"/>
        <v>0.9752052545155993</v>
      </c>
      <c r="L15" s="1">
        <f>L14/$B$5*2</f>
        <v>1</v>
      </c>
    </row>
    <row r="16" spans="1:19" ht="12.75">
      <c r="A16" s="18" t="s">
        <v>14</v>
      </c>
      <c r="B16" s="19">
        <v>0</v>
      </c>
      <c r="C16" s="19">
        <v>0.74</v>
      </c>
      <c r="D16" s="19">
        <v>1.694</v>
      </c>
      <c r="E16" s="19">
        <v>2.722</v>
      </c>
      <c r="F16" s="19">
        <v>3.687</v>
      </c>
      <c r="G16" s="19">
        <v>4.514</v>
      </c>
      <c r="H16" s="19">
        <v>5.447</v>
      </c>
      <c r="I16" s="19">
        <v>6.492</v>
      </c>
      <c r="J16" s="19">
        <v>7.569</v>
      </c>
      <c r="K16" s="19">
        <v>8.447</v>
      </c>
      <c r="L16" s="27"/>
      <c r="N16" s="21"/>
      <c r="O16" s="21"/>
      <c r="P16" s="21"/>
      <c r="Q16" s="21"/>
      <c r="R16" s="21"/>
      <c r="S16" s="21"/>
    </row>
    <row r="17" spans="1:12" ht="12.75">
      <c r="A17" s="22" t="s">
        <v>15</v>
      </c>
      <c r="B17" s="23"/>
      <c r="C17" s="23"/>
      <c r="D17" s="23"/>
      <c r="E17" s="23"/>
      <c r="F17" s="23"/>
      <c r="G17" s="23"/>
      <c r="H17" s="24"/>
      <c r="I17" s="24"/>
      <c r="J17" s="24"/>
      <c r="K17" s="24" t="s">
        <v>35</v>
      </c>
      <c r="L17" s="46">
        <v>9.12</v>
      </c>
    </row>
    <row r="18" spans="1:12" ht="12.75">
      <c r="A18" s="25" t="s">
        <v>34</v>
      </c>
      <c r="B18" s="2">
        <f>(B16-$B$16)*2</f>
        <v>0</v>
      </c>
      <c r="C18" s="2">
        <f>(C16-$B$16)*2</f>
        <v>1.48</v>
      </c>
      <c r="D18" s="2">
        <f aca="true" t="shared" si="1" ref="D18:K18">IF(D14&lt;&gt;0,(D16-$B$16)*2,0)</f>
        <v>3.388</v>
      </c>
      <c r="E18" s="2">
        <f t="shared" si="1"/>
        <v>5.444</v>
      </c>
      <c r="F18" s="2">
        <f t="shared" si="1"/>
        <v>7.374</v>
      </c>
      <c r="G18" s="2">
        <f t="shared" si="1"/>
        <v>9.028</v>
      </c>
      <c r="H18" s="2">
        <f t="shared" si="1"/>
        <v>10.894</v>
      </c>
      <c r="I18" s="2">
        <f t="shared" si="1"/>
        <v>12.984</v>
      </c>
      <c r="J18" s="2">
        <f t="shared" si="1"/>
        <v>15.138</v>
      </c>
      <c r="K18" s="2">
        <f t="shared" si="1"/>
        <v>16.894</v>
      </c>
      <c r="L18" s="27">
        <f>L17*2</f>
        <v>18.24</v>
      </c>
    </row>
    <row r="19" spans="1:12" ht="12.75">
      <c r="A19" s="26" t="s">
        <v>16</v>
      </c>
      <c r="B19" s="2">
        <f>(B14^2-$B$14^2)/Kurvenradius</f>
        <v>0</v>
      </c>
      <c r="C19" s="2">
        <f>(C14^2-$B$14^2)/Kurvenradius</f>
        <v>1.7079245283018867</v>
      </c>
      <c r="D19" s="2">
        <f aca="true" t="shared" si="2" ref="D19:K19">IF(D14&lt;&gt;0,(D14^2-$B$14^2)/Kurvenradius,"")</f>
        <v>3.6508614697120145</v>
      </c>
      <c r="E19" s="2">
        <f t="shared" si="2"/>
        <v>5.580154915590863</v>
      </c>
      <c r="F19" s="2">
        <f t="shared" si="2"/>
        <v>7.505998013902681</v>
      </c>
      <c r="G19" s="2">
        <f t="shared" si="2"/>
        <v>9.408198113207547</v>
      </c>
      <c r="H19" s="2">
        <f t="shared" si="2"/>
        <v>11.320063058589872</v>
      </c>
      <c r="I19" s="2">
        <f t="shared" si="2"/>
        <v>13.268513902681232</v>
      </c>
      <c r="J19" s="2">
        <f t="shared" si="2"/>
        <v>15.25111022840119</v>
      </c>
      <c r="K19" s="2">
        <f t="shared" si="2"/>
        <v>17.221167825223432</v>
      </c>
      <c r="L19" s="7">
        <f>(Spiegeldurchmesser/2)^2/Kurvenradius</f>
        <v>18.41514399205561</v>
      </c>
    </row>
    <row r="20" spans="1:12" ht="12.75">
      <c r="A20" s="18" t="s">
        <v>17</v>
      </c>
      <c r="B20" s="3"/>
      <c r="C20" s="4">
        <f>C18-B18</f>
        <v>1.48</v>
      </c>
      <c r="D20" s="4">
        <f aca="true" t="shared" si="3" ref="D20:K20">IF(D14&lt;&gt;0,D18-C18,"")</f>
        <v>1.908</v>
      </c>
      <c r="E20" s="4">
        <f t="shared" si="3"/>
        <v>2.056</v>
      </c>
      <c r="F20" s="4">
        <f t="shared" si="3"/>
        <v>1.9299999999999997</v>
      </c>
      <c r="G20" s="4">
        <f t="shared" si="3"/>
        <v>1.6540000000000008</v>
      </c>
      <c r="H20" s="4">
        <f t="shared" si="3"/>
        <v>1.8659999999999997</v>
      </c>
      <c r="I20" s="4">
        <f t="shared" si="3"/>
        <v>2.09</v>
      </c>
      <c r="J20" s="4">
        <f t="shared" si="3"/>
        <v>2.154</v>
      </c>
      <c r="K20" s="4">
        <f t="shared" si="3"/>
        <v>1.7559999999999985</v>
      </c>
      <c r="L20" s="27"/>
    </row>
    <row r="21" spans="1:12" ht="12.75">
      <c r="A21" s="18" t="s">
        <v>18</v>
      </c>
      <c r="B21" s="5"/>
      <c r="C21" s="4">
        <f>C19-B19</f>
        <v>1.7079245283018867</v>
      </c>
      <c r="D21" s="4">
        <f aca="true" t="shared" si="4" ref="D21:K21">IF(D14&lt;&gt;0,D19-C19,"")</f>
        <v>1.9429369414101278</v>
      </c>
      <c r="E21" s="4">
        <f t="shared" si="4"/>
        <v>1.9292934458788484</v>
      </c>
      <c r="F21" s="4">
        <f t="shared" si="4"/>
        <v>1.9258430983118178</v>
      </c>
      <c r="G21" s="4">
        <f t="shared" si="4"/>
        <v>1.9022000993048662</v>
      </c>
      <c r="H21" s="4">
        <f t="shared" si="4"/>
        <v>1.9118649453823249</v>
      </c>
      <c r="I21" s="4">
        <f t="shared" si="4"/>
        <v>1.9484508440913597</v>
      </c>
      <c r="J21" s="4">
        <f t="shared" si="4"/>
        <v>1.9825963257199586</v>
      </c>
      <c r="K21" s="4">
        <f t="shared" si="4"/>
        <v>1.970057596822242</v>
      </c>
      <c r="L21" s="20"/>
    </row>
    <row r="22" spans="1:12" ht="12.75">
      <c r="A22" s="28" t="s">
        <v>19</v>
      </c>
      <c r="B22" s="6"/>
      <c r="C22" s="67">
        <f>C20/C21</f>
        <v>0.866548828988069</v>
      </c>
      <c r="D22" s="67">
        <f aca="true" t="shared" si="5" ref="D22:K22">IF(D14&lt;&gt;0,D20/D21,"")</f>
        <v>0.9820184892955035</v>
      </c>
      <c r="E22" s="67">
        <f t="shared" si="5"/>
        <v>1.0656751073258497</v>
      </c>
      <c r="F22" s="67">
        <f t="shared" si="5"/>
        <v>1.0021584840903321</v>
      </c>
      <c r="G22" s="67">
        <f t="shared" si="5"/>
        <v>0.8695194583390218</v>
      </c>
      <c r="H22" s="67">
        <f t="shared" si="5"/>
        <v>0.9760103633402026</v>
      </c>
      <c r="I22" s="67">
        <f t="shared" si="5"/>
        <v>1.072647024346488</v>
      </c>
      <c r="J22" s="67">
        <f t="shared" si="5"/>
        <v>1.0864541470477092</v>
      </c>
      <c r="K22" s="67">
        <f t="shared" si="5"/>
        <v>0.8913444981671985</v>
      </c>
      <c r="L22" s="68">
        <f>L18/L19</f>
        <v>0.990489132632839</v>
      </c>
    </row>
    <row r="23" spans="2:9" ht="12.75">
      <c r="B23" s="29"/>
      <c r="C23" s="29"/>
      <c r="D23" s="29"/>
      <c r="E23" s="29"/>
      <c r="F23" s="29"/>
      <c r="G23" s="29"/>
      <c r="H23" s="29"/>
      <c r="I23" s="29"/>
    </row>
    <row r="24" spans="2:12" ht="15.75">
      <c r="B24" s="29"/>
      <c r="C24" s="29"/>
      <c r="D24" s="29"/>
      <c r="E24" s="29"/>
      <c r="G24" s="70"/>
      <c r="K24" s="10" t="s">
        <v>20</v>
      </c>
      <c r="L24" s="30">
        <f>1/(Max-min)</f>
        <v>7.426897095265938</v>
      </c>
    </row>
    <row r="25" spans="1:12" ht="15.75">
      <c r="A25"/>
      <c r="D25"/>
      <c r="F25" s="29"/>
      <c r="K25" s="10" t="s">
        <v>21</v>
      </c>
      <c r="L25" s="30">
        <f>1/(Max-min)*2</f>
        <v>14.853794190531875</v>
      </c>
    </row>
    <row r="26" spans="6:12" ht="15.75">
      <c r="F26" s="29"/>
      <c r="K26" s="10" t="s">
        <v>57</v>
      </c>
      <c r="L26" s="30">
        <f>1/(RMS)</f>
        <v>40.73225480852444</v>
      </c>
    </row>
    <row r="27" spans="1:12" ht="15.75">
      <c r="A27" s="31" t="s">
        <v>22</v>
      </c>
      <c r="D27" s="69">
        <f>$B$10*100</f>
        <v>100</v>
      </c>
      <c r="E27" s="31" t="s">
        <v>53</v>
      </c>
      <c r="F27" s="29"/>
      <c r="K27" s="10" t="s">
        <v>55</v>
      </c>
      <c r="L27" s="71">
        <f>1/EXP((2*PI()/L26)^2)</f>
        <v>0.976486022727889</v>
      </c>
    </row>
    <row r="28" spans="2:16" ht="12.75">
      <c r="B28" s="29"/>
      <c r="C28" s="29"/>
      <c r="D28" s="29"/>
      <c r="E28" s="29"/>
      <c r="F28" s="29"/>
      <c r="G28" s="29"/>
      <c r="H28" s="29"/>
      <c r="I28" s="29"/>
      <c r="J28" s="29"/>
      <c r="K28" s="29"/>
      <c r="P28" s="10" t="s">
        <v>23</v>
      </c>
    </row>
    <row r="29" spans="12:19" ht="12.75">
      <c r="L29" s="10"/>
      <c r="M29" s="10" t="s">
        <v>24</v>
      </c>
      <c r="N29" s="10" t="s">
        <v>25</v>
      </c>
      <c r="O29" s="32" t="s">
        <v>51</v>
      </c>
      <c r="Q29" s="10"/>
      <c r="R29" s="10"/>
      <c r="S29" s="10"/>
    </row>
    <row r="30" spans="12:17" ht="12.75">
      <c r="L30" s="10"/>
      <c r="M30" s="8">
        <f aca="true" t="shared" si="6" ref="M30:M70">N30*$B$5/2</f>
        <v>0</v>
      </c>
      <c r="N30" s="10">
        <v>0</v>
      </c>
      <c r="O30" s="10">
        <f>WaveError(Spiegeldurchmesser,Kurvenradius,AnzZonen,ParabolGrad,ZR1,ZR2,ZR3,ZR4,ZR5,ZR6,ZR7,ZR8,ZR9,ZR10,ZM1,ZM2,ZM3,ZM4,ZM5,ZM6,ZM7,ZM8,ZM9,ZM10,M30)</f>
        <v>0</v>
      </c>
      <c r="P30" s="10">
        <v>0</v>
      </c>
      <c r="Q30" s="10"/>
    </row>
    <row r="31" spans="12:17" ht="12.75">
      <c r="L31" s="10"/>
      <c r="M31" s="51">
        <f t="shared" si="6"/>
        <v>7.612500000000001</v>
      </c>
      <c r="N31" s="10">
        <v>0.025</v>
      </c>
      <c r="O31" s="10">
        <f aca="true" t="shared" si="7" ref="O31:O70">WaveError(Spiegeldurchmesser,Kurvenradius,AnzZonen,ParabolGrad,ZR1,ZR2,ZR3,ZR4,ZR5,ZR6,ZR7,ZR8,ZR9,ZR10,ZM1,ZM2,ZM3,ZM4,ZM5,ZM6,ZM7,ZM8,ZM9,ZM10,M31)</f>
        <v>-0.001223756829070501</v>
      </c>
      <c r="P31" s="47">
        <f>O31^2*M31*(M31-M30)</f>
        <v>8.678504000656942E-05</v>
      </c>
      <c r="Q31" s="10"/>
    </row>
    <row r="32" spans="13:19" ht="12.75">
      <c r="M32" s="45">
        <f t="shared" si="6"/>
        <v>15.225000000000001</v>
      </c>
      <c r="N32" s="10">
        <v>0.05</v>
      </c>
      <c r="O32" s="10">
        <f t="shared" si="7"/>
        <v>-0.004673299326597157</v>
      </c>
      <c r="P32" s="47">
        <f aca="true" t="shared" si="8" ref="P32:P47">O32^2*M32*(M32-M31)</f>
        <v>0.0025312311373878833</v>
      </c>
      <c r="Q32" s="10"/>
      <c r="R32" s="8" t="s">
        <v>26</v>
      </c>
      <c r="S32" s="8">
        <f>MIN($O$30:$O$70)</f>
        <v>-0.13452210063772063</v>
      </c>
    </row>
    <row r="33" spans="13:19" ht="12.75">
      <c r="M33" s="45">
        <f t="shared" si="6"/>
        <v>22.8375</v>
      </c>
      <c r="N33" s="10">
        <v>0.075</v>
      </c>
      <c r="O33" s="10">
        <f t="shared" si="7"/>
        <v>-0.009733421131676946</v>
      </c>
      <c r="P33" s="47">
        <f t="shared" si="8"/>
        <v>0.01647050421131961</v>
      </c>
      <c r="Q33" s="10"/>
      <c r="R33" s="8" t="s">
        <v>27</v>
      </c>
      <c r="S33" s="8">
        <f>MAX($O$30:$O$70)</f>
        <v>0.0001236319169179989</v>
      </c>
    </row>
    <row r="34" spans="13:19" ht="12.75">
      <c r="M34" s="45">
        <f t="shared" si="6"/>
        <v>30.450000000000003</v>
      </c>
      <c r="N34" s="10">
        <v>0.1</v>
      </c>
      <c r="O34" s="10">
        <f t="shared" si="7"/>
        <v>-0.015533701622050086</v>
      </c>
      <c r="P34" s="47">
        <f t="shared" si="8"/>
        <v>0.05593253720394076</v>
      </c>
      <c r="Q34" s="10"/>
      <c r="R34" s="29"/>
      <c r="S34" s="29"/>
    </row>
    <row r="35" spans="13:17" ht="12.75">
      <c r="M35" s="45">
        <f t="shared" si="6"/>
        <v>38.0625</v>
      </c>
      <c r="N35" s="10">
        <v>0.125</v>
      </c>
      <c r="O35" s="10">
        <f t="shared" si="7"/>
        <v>-0.021142646786720627</v>
      </c>
      <c r="P35" s="47">
        <f t="shared" si="8"/>
        <v>0.12952193516238572</v>
      </c>
      <c r="Q35" s="10"/>
    </row>
    <row r="36" spans="13:19" ht="13.5" thickBot="1">
      <c r="M36" s="45">
        <f t="shared" si="6"/>
        <v>45.675</v>
      </c>
      <c r="N36" s="10">
        <v>0.15</v>
      </c>
      <c r="O36" s="10">
        <f t="shared" si="7"/>
        <v>-0.02577182528737749</v>
      </c>
      <c r="P36" s="47">
        <f t="shared" si="8"/>
        <v>0.2309384351495017</v>
      </c>
      <c r="Q36" s="10"/>
      <c r="R36" s="41" t="s">
        <v>28</v>
      </c>
      <c r="S36" s="41"/>
    </row>
    <row r="37" spans="13:19" ht="13.5" thickBot="1">
      <c r="M37" s="45">
        <f t="shared" si="6"/>
        <v>53.287499999999994</v>
      </c>
      <c r="N37" s="10">
        <v>0.175</v>
      </c>
      <c r="O37" s="10">
        <f t="shared" si="7"/>
        <v>-0.028941117233036467</v>
      </c>
      <c r="P37" s="47">
        <f t="shared" si="8"/>
        <v>0.3397685964975451</v>
      </c>
      <c r="Q37" s="10"/>
      <c r="R37" s="42" t="s">
        <v>29</v>
      </c>
      <c r="S37" s="44">
        <v>0.16</v>
      </c>
    </row>
    <row r="38" spans="13:19" ht="12.75">
      <c r="M38" s="45">
        <f t="shared" si="6"/>
        <v>60.900000000000006</v>
      </c>
      <c r="N38" s="10">
        <v>0.2</v>
      </c>
      <c r="O38" s="10">
        <f t="shared" si="7"/>
        <v>-0.030564697838955532</v>
      </c>
      <c r="P38" s="47">
        <f t="shared" si="8"/>
        <v>0.4330966372991555</v>
      </c>
      <c r="Q38" s="10"/>
      <c r="R38" s="42" t="s">
        <v>30</v>
      </c>
      <c r="S38" s="29" t="s">
        <v>31</v>
      </c>
    </row>
    <row r="39" spans="13:19" ht="12.75">
      <c r="M39" s="45">
        <f t="shared" si="6"/>
        <v>68.5125</v>
      </c>
      <c r="N39" s="10">
        <v>0.225</v>
      </c>
      <c r="O39" s="10">
        <f t="shared" si="7"/>
        <v>-0.030935945198878226</v>
      </c>
      <c r="P39" s="47">
        <f t="shared" si="8"/>
        <v>0.49914175330148935</v>
      </c>
      <c r="Q39" s="10"/>
      <c r="R39" s="43">
        <f>ZR1/Spiegeldurchmesser*2</f>
        <v>0.12594417077175699</v>
      </c>
      <c r="S39" s="29">
        <f>$S$37*-1</f>
        <v>-0.16</v>
      </c>
    </row>
    <row r="40" spans="13:19" ht="12.75">
      <c r="M40" s="45">
        <f t="shared" si="6"/>
        <v>76.125</v>
      </c>
      <c r="N40" s="10">
        <v>0.25</v>
      </c>
      <c r="O40" s="10">
        <f t="shared" si="7"/>
        <v>-0.030614320322500305</v>
      </c>
      <c r="P40" s="47">
        <f t="shared" si="8"/>
        <v>0.5431300792368167</v>
      </c>
      <c r="Q40" s="10"/>
      <c r="R40" s="43">
        <f>ZR1/Spiegeldurchmesser*2</f>
        <v>0.12594417077175699</v>
      </c>
      <c r="S40" s="29">
        <f>$S$37</f>
        <v>0.16</v>
      </c>
    </row>
    <row r="41" spans="13:19" ht="12.75">
      <c r="M41" s="45">
        <f t="shared" si="6"/>
        <v>83.73750000000001</v>
      </c>
      <c r="N41" s="10">
        <v>0.275</v>
      </c>
      <c r="O41" s="10">
        <f t="shared" si="7"/>
        <v>-0.030242938102706896</v>
      </c>
      <c r="P41" s="47">
        <f t="shared" si="8"/>
        <v>0.5830358472553296</v>
      </c>
      <c r="Q41" s="10"/>
      <c r="R41"/>
      <c r="S41"/>
    </row>
    <row r="42" spans="13:19" ht="12.75">
      <c r="M42" s="45">
        <f t="shared" si="6"/>
        <v>91.35</v>
      </c>
      <c r="N42" s="10">
        <v>0.3</v>
      </c>
      <c r="O42" s="10">
        <f t="shared" si="7"/>
        <v>-0.03034585558329453</v>
      </c>
      <c r="P42" s="47">
        <f t="shared" si="8"/>
        <v>0.6403753860155712</v>
      </c>
      <c r="Q42" s="10"/>
      <c r="R42" s="43">
        <f>ZR2/Spiegeldurchmesser*2</f>
        <v>0.3295566502463054</v>
      </c>
      <c r="S42" s="29">
        <f>$S$37*-1</f>
        <v>-0.16</v>
      </c>
    </row>
    <row r="43" spans="13:19" ht="12.75">
      <c r="M43" s="45">
        <f t="shared" si="6"/>
        <v>98.9625</v>
      </c>
      <c r="N43" s="10">
        <v>0.325</v>
      </c>
      <c r="O43" s="10">
        <f t="shared" si="7"/>
        <v>-0.03116345075679261</v>
      </c>
      <c r="P43" s="47">
        <f t="shared" si="8"/>
        <v>0.7316258581946643</v>
      </c>
      <c r="Q43" s="10"/>
      <c r="R43" s="43">
        <f>ZR2/Spiegeldurchmesser*2</f>
        <v>0.3295566502463054</v>
      </c>
      <c r="S43" s="29">
        <f>$S$37</f>
        <v>0.16</v>
      </c>
    </row>
    <row r="44" spans="13:19" ht="12.75">
      <c r="M44" s="45">
        <f t="shared" si="6"/>
        <v>106.57499999999999</v>
      </c>
      <c r="N44" s="10">
        <v>0.35</v>
      </c>
      <c r="O44" s="10">
        <f t="shared" si="7"/>
        <v>-0.03257894988257426</v>
      </c>
      <c r="P44" s="47">
        <f t="shared" si="8"/>
        <v>0.8611063862698219</v>
      </c>
      <c r="Q44" s="10"/>
      <c r="R44" s="43"/>
      <c r="S44" s="29"/>
    </row>
    <row r="45" spans="13:19" ht="12.75">
      <c r="M45" s="45">
        <f t="shared" si="6"/>
        <v>114.1875</v>
      </c>
      <c r="N45" s="10">
        <v>0.375</v>
      </c>
      <c r="O45" s="10">
        <f t="shared" si="7"/>
        <v>-0.03416850473794869</v>
      </c>
      <c r="P45" s="47">
        <f t="shared" si="8"/>
        <v>1.014840564203655</v>
      </c>
      <c r="Q45" s="10"/>
      <c r="R45" s="43">
        <f>IF(ZR3&lt;&gt;0,ZR3/Spiegeldurchmesser*2,1)</f>
        <v>0.4627257799671592</v>
      </c>
      <c r="S45" s="29">
        <f>$S$37*-1</f>
        <v>-0.16</v>
      </c>
    </row>
    <row r="46" spans="13:19" ht="12.75">
      <c r="M46" s="45">
        <f t="shared" si="6"/>
        <v>121.80000000000001</v>
      </c>
      <c r="N46" s="10">
        <v>0.4</v>
      </c>
      <c r="O46" s="10">
        <f t="shared" si="7"/>
        <v>-0.0353742414299425</v>
      </c>
      <c r="P46" s="47">
        <f t="shared" si="8"/>
        <v>1.160242754635301</v>
      </c>
      <c r="Q46" s="10"/>
      <c r="R46" s="43">
        <f>IF(ZR3&lt;&gt;0,ZR3/Spiegeldurchmesser*2,1)</f>
        <v>0.4627257799671592</v>
      </c>
      <c r="S46" s="29">
        <f>$S$37</f>
        <v>0.16</v>
      </c>
    </row>
    <row r="47" spans="13:19" ht="12.75">
      <c r="M47" s="45">
        <f t="shared" si="6"/>
        <v>129.4125</v>
      </c>
      <c r="N47" s="10">
        <v>0.425</v>
      </c>
      <c r="O47" s="10">
        <f t="shared" si="7"/>
        <v>-0.03576111468451121</v>
      </c>
      <c r="P47" s="47">
        <f t="shared" si="8"/>
        <v>1.259869689189866</v>
      </c>
      <c r="Q47" s="10"/>
      <c r="R47" s="43"/>
      <c r="S47" s="29"/>
    </row>
    <row r="48" spans="13:19" ht="12.75">
      <c r="M48" s="45">
        <f t="shared" si="6"/>
        <v>137.025</v>
      </c>
      <c r="N48" s="10">
        <v>0.45</v>
      </c>
      <c r="O48" s="10">
        <f t="shared" si="7"/>
        <v>-0.035283789211460415</v>
      </c>
      <c r="P48" s="47">
        <f aca="true" t="shared" si="9" ref="P48:P63">O48^2*M48*(M48-M47)</f>
        <v>1.2986064456950006</v>
      </c>
      <c r="Q48" s="10"/>
      <c r="R48" s="43">
        <f>IF(ZR4&lt;&gt;0,ZR4/Spiegeldurchmesser*2,1)</f>
        <v>0.5646962233169129</v>
      </c>
      <c r="S48" s="29">
        <f>$S$37*-1</f>
        <v>-0.16</v>
      </c>
    </row>
    <row r="49" spans="13:19" ht="12.75">
      <c r="M49" s="45">
        <f t="shared" si="6"/>
        <v>144.6375</v>
      </c>
      <c r="N49" s="10">
        <v>0.475</v>
      </c>
      <c r="O49" s="10">
        <f t="shared" si="7"/>
        <v>-0.03446989002188511</v>
      </c>
      <c r="P49" s="47">
        <f t="shared" si="9"/>
        <v>1.308241759306502</v>
      </c>
      <c r="Q49" s="10"/>
      <c r="R49" s="43">
        <f>IF(ZR4&lt;&gt;0,ZR4/Spiegeldurchmesser*2,1)</f>
        <v>0.5646962233169129</v>
      </c>
      <c r="S49" s="29">
        <f>$S$37</f>
        <v>0.16</v>
      </c>
    </row>
    <row r="50" spans="13:19" ht="12.75">
      <c r="M50" s="45">
        <f t="shared" si="6"/>
        <v>152.25</v>
      </c>
      <c r="N50" s="10">
        <v>0.5</v>
      </c>
      <c r="O50" s="10">
        <f t="shared" si="7"/>
        <v>-0.03443031043814948</v>
      </c>
      <c r="P50" s="47">
        <f t="shared" si="9"/>
        <v>1.3739359394088702</v>
      </c>
      <c r="Q50" s="10"/>
      <c r="R50"/>
      <c r="S50"/>
    </row>
    <row r="51" spans="13:19" ht="12.75">
      <c r="M51" s="45">
        <f t="shared" si="6"/>
        <v>159.8625</v>
      </c>
      <c r="N51" s="10">
        <v>0.525</v>
      </c>
      <c r="O51" s="10">
        <f t="shared" si="7"/>
        <v>-0.03664120191881903</v>
      </c>
      <c r="P51" s="47">
        <f t="shared" si="9"/>
        <v>1.6338543106428534</v>
      </c>
      <c r="Q51" s="10"/>
      <c r="R51" s="43">
        <f>IF(ZR5&lt;&gt;0,ZR5/Spiegeldurchmesser*2,1)</f>
        <v>0.6507389162561577</v>
      </c>
      <c r="S51" s="29">
        <f>$S$37*-1</f>
        <v>-0.16</v>
      </c>
    </row>
    <row r="52" spans="13:19" ht="12.75">
      <c r="M52" s="45">
        <f t="shared" si="6"/>
        <v>167.47500000000002</v>
      </c>
      <c r="N52" s="10">
        <v>0.55</v>
      </c>
      <c r="O52" s="10">
        <f t="shared" si="7"/>
        <v>-0.04250423617428756</v>
      </c>
      <c r="P52" s="47">
        <f t="shared" si="9"/>
        <v>2.3032534174814305</v>
      </c>
      <c r="Q52" s="10"/>
      <c r="R52" s="43">
        <f>IF(ZR5&lt;&gt;0,ZR5/Spiegeldurchmesser*2,1)</f>
        <v>0.6507389162561577</v>
      </c>
      <c r="S52" s="29">
        <f>$S$37</f>
        <v>0.16</v>
      </c>
    </row>
    <row r="53" spans="13:19" ht="12.75">
      <c r="M53" s="45">
        <f t="shared" si="6"/>
        <v>175.08749999999998</v>
      </c>
      <c r="N53" s="10">
        <v>0.575</v>
      </c>
      <c r="O53" s="10">
        <f t="shared" si="7"/>
        <v>-0.052771244465424916</v>
      </c>
      <c r="P53" s="47">
        <f t="shared" si="9"/>
        <v>3.711736342412569</v>
      </c>
      <c r="Q53" s="10"/>
      <c r="R53"/>
      <c r="S53"/>
    </row>
    <row r="54" spans="13:19" ht="12.75">
      <c r="M54" s="45">
        <f t="shared" si="6"/>
        <v>182.7</v>
      </c>
      <c r="N54" s="10">
        <v>0.6</v>
      </c>
      <c r="O54" s="10">
        <f t="shared" si="7"/>
        <v>-0.06699660198284418</v>
      </c>
      <c r="P54" s="47">
        <f t="shared" si="9"/>
        <v>6.2426847691585685</v>
      </c>
      <c r="Q54" s="10"/>
      <c r="R54" s="43">
        <f>IF(ZR6&lt;&gt;0,ZR6/Spiegeldurchmesser*2,1)</f>
        <v>0.7257799671592775</v>
      </c>
      <c r="S54" s="29">
        <f>$S$37*-1</f>
        <v>-0.16</v>
      </c>
    </row>
    <row r="55" spans="13:19" ht="12.75">
      <c r="M55" s="45">
        <f t="shared" si="6"/>
        <v>190.3125</v>
      </c>
      <c r="N55" s="10">
        <v>0.625</v>
      </c>
      <c r="O55" s="10">
        <f t="shared" si="7"/>
        <v>-0.08322870392569026</v>
      </c>
      <c r="P55" s="47">
        <f t="shared" si="9"/>
        <v>10.035543165082151</v>
      </c>
      <c r="Q55" s="10"/>
      <c r="R55" s="43">
        <f>IF(ZR6&lt;&gt;0,ZR6/Spiegeldurchmesser*2,1)</f>
        <v>0.7257799671592775</v>
      </c>
      <c r="S55" s="29">
        <f>$S$37</f>
        <v>0.16</v>
      </c>
    </row>
    <row r="56" spans="13:19" ht="12.75">
      <c r="M56" s="45">
        <f t="shared" si="6"/>
        <v>197.925</v>
      </c>
      <c r="N56" s="10">
        <v>0.65</v>
      </c>
      <c r="O56" s="10">
        <f t="shared" si="7"/>
        <v>-0.0981415778357484</v>
      </c>
      <c r="P56" s="47">
        <f>O56^2*M56*(M56-M55)</f>
        <v>14.5122259335088</v>
      </c>
      <c r="Q56" s="10"/>
      <c r="R56" s="43"/>
      <c r="S56" s="29"/>
    </row>
    <row r="57" spans="13:19" ht="12.75">
      <c r="M57" s="45">
        <f t="shared" si="6"/>
        <v>205.53750000000002</v>
      </c>
      <c r="N57" s="10">
        <v>0.675</v>
      </c>
      <c r="O57" s="10">
        <f t="shared" si="7"/>
        <v>-0.10771689575878418</v>
      </c>
      <c r="P57" s="47">
        <f>O57^2*M57*(M57-M56)</f>
        <v>18.154572798425484</v>
      </c>
      <c r="Q57" s="10"/>
      <c r="R57" s="43">
        <f>IF(ZR7&lt;&gt;0,ZR7/Spiegeldurchmesser*2,1)</f>
        <v>0.7940886699507389</v>
      </c>
      <c r="S57" s="29">
        <f>$S$37*-1</f>
        <v>-0.16</v>
      </c>
    </row>
    <row r="58" spans="13:19" ht="12.75">
      <c r="M58" s="45">
        <f t="shared" si="6"/>
        <v>213.14999999999998</v>
      </c>
      <c r="N58" s="10">
        <v>0.7</v>
      </c>
      <c r="O58" s="10">
        <f t="shared" si="7"/>
        <v>-0.10841177940826485</v>
      </c>
      <c r="P58" s="47">
        <f t="shared" si="9"/>
        <v>19.070654057486244</v>
      </c>
      <c r="Q58" s="10"/>
      <c r="R58" s="43">
        <f>IF(ZR7&lt;&gt;0,ZR7/Spiegeldurchmesser*2,1)</f>
        <v>0.7940886699507389</v>
      </c>
      <c r="S58" s="29">
        <f>$S$37</f>
        <v>0.16</v>
      </c>
    </row>
    <row r="59" spans="13:18" ht="12.75">
      <c r="M59" s="45">
        <f t="shared" si="6"/>
        <v>220.7625</v>
      </c>
      <c r="N59" s="10">
        <v>0.725</v>
      </c>
      <c r="O59" s="10">
        <f t="shared" si="7"/>
        <v>-0.09851689920400064</v>
      </c>
      <c r="P59" s="47">
        <f>O59^2*M59*(M59-M58)</f>
        <v>16.31075548742829</v>
      </c>
      <c r="Q59" s="10"/>
      <c r="R59" s="29"/>
    </row>
    <row r="60" spans="13:19" ht="12.75">
      <c r="M60" s="45">
        <f t="shared" si="6"/>
        <v>228.375</v>
      </c>
      <c r="N60" s="10">
        <v>0.75</v>
      </c>
      <c r="O60" s="10">
        <f t="shared" si="7"/>
        <v>-0.07919296109322693</v>
      </c>
      <c r="P60" s="47">
        <f>O60^2*M60*(M60-M59)</f>
        <v>10.903075761025027</v>
      </c>
      <c r="Q60" s="10"/>
      <c r="R60" s="43">
        <f>IF(ZR7&lt;&gt;0,ZR8/Spiegeldurchmesser*2,1)</f>
        <v>0.858128078817734</v>
      </c>
      <c r="S60" s="29">
        <f>$S$37*-1</f>
        <v>-0.16</v>
      </c>
    </row>
    <row r="61" spans="13:19" ht="12.75">
      <c r="M61" s="45">
        <f t="shared" si="6"/>
        <v>235.9875</v>
      </c>
      <c r="N61" s="10">
        <v>0.775</v>
      </c>
      <c r="O61" s="10">
        <f t="shared" si="7"/>
        <v>-0.05458677943545864</v>
      </c>
      <c r="P61" s="47">
        <f t="shared" si="9"/>
        <v>5.352926119909061</v>
      </c>
      <c r="Q61" s="10"/>
      <c r="R61" s="43">
        <f>IF(ZR7&lt;&gt;0,ZR8/Spiegeldurchmesser*2,1)</f>
        <v>0.858128078817734</v>
      </c>
      <c r="S61" s="29">
        <f>$S$37</f>
        <v>0.16</v>
      </c>
    </row>
    <row r="62" spans="13:18" ht="12.75">
      <c r="M62" s="45">
        <f t="shared" si="6"/>
        <v>243.60000000000002</v>
      </c>
      <c r="N62" s="10">
        <v>0.8</v>
      </c>
      <c r="O62" s="10">
        <f t="shared" si="7"/>
        <v>-0.03061358364105171</v>
      </c>
      <c r="P62" s="47">
        <f t="shared" si="9"/>
        <v>1.7379326097654368</v>
      </c>
      <c r="Q62" s="10"/>
      <c r="R62"/>
    </row>
    <row r="63" spans="13:19" ht="12.75">
      <c r="M63" s="45">
        <f t="shared" si="6"/>
        <v>251.21249999999998</v>
      </c>
      <c r="N63" s="10">
        <v>0.825</v>
      </c>
      <c r="O63" s="10">
        <f t="shared" si="7"/>
        <v>-0.012570008257290377</v>
      </c>
      <c r="P63" s="47">
        <f t="shared" si="9"/>
        <v>0.30216188221041196</v>
      </c>
      <c r="Q63" s="10"/>
      <c r="R63" s="43">
        <f>IF(ZR7&lt;&gt;0,ZR9/Spiegeldurchmesser*2,1)</f>
        <v>0.9187192118226601</v>
      </c>
      <c r="S63" s="29">
        <f>$S$37*-1</f>
        <v>-0.16</v>
      </c>
    </row>
    <row r="64" spans="13:19" ht="12.75">
      <c r="M64" s="45">
        <f t="shared" si="6"/>
        <v>258.825</v>
      </c>
      <c r="N64" s="10">
        <v>0.85</v>
      </c>
      <c r="O64" s="10">
        <f t="shared" si="7"/>
        <v>-0.0027032920859728637</v>
      </c>
      <c r="P64" s="47">
        <f aca="true" t="shared" si="10" ref="P64:P70">O64^2*M64*(M64-M63)</f>
        <v>0.014398573720159466</v>
      </c>
      <c r="Q64" s="10"/>
      <c r="R64" s="43">
        <f>IF(ZR7&lt;&gt;0,ZR9/Spiegeldurchmesser*2,1)</f>
        <v>0.9187192118226601</v>
      </c>
      <c r="S64" s="29">
        <f>$S$37</f>
        <v>0.16</v>
      </c>
    </row>
    <row r="65" spans="13:18" ht="12.75">
      <c r="M65" s="45">
        <f t="shared" si="6"/>
        <v>266.4375</v>
      </c>
      <c r="N65" s="10">
        <v>0.875</v>
      </c>
      <c r="O65" s="10">
        <f t="shared" si="7"/>
        <v>0.0001236319169179989</v>
      </c>
      <c r="P65" s="47">
        <f t="shared" si="10"/>
        <v>3.1001582388049404E-05</v>
      </c>
      <c r="Q65" s="10"/>
      <c r="R65"/>
    </row>
    <row r="66" spans="13:19" ht="12.75">
      <c r="M66" s="45">
        <f t="shared" si="6"/>
        <v>274.05</v>
      </c>
      <c r="N66" s="10">
        <v>0.9</v>
      </c>
      <c r="O66" s="10">
        <f t="shared" si="7"/>
        <v>-0.0035658579486084196</v>
      </c>
      <c r="P66" s="47">
        <f t="shared" si="10"/>
        <v>0.026526819901923765</v>
      </c>
      <c r="Q66" s="10"/>
      <c r="R66" s="43">
        <f>IF(ZR7&lt;&gt;0,ZR10/Spiegeldurchmesser*2,1)</f>
        <v>0.9752052545155993</v>
      </c>
      <c r="S66" s="29">
        <f>$S$37*-1</f>
        <v>-0.16</v>
      </c>
    </row>
    <row r="67" spans="13:19" ht="12.75">
      <c r="M67" s="45">
        <f t="shared" si="6"/>
        <v>281.6625</v>
      </c>
      <c r="N67" s="10">
        <v>0.925</v>
      </c>
      <c r="O67" s="10">
        <f t="shared" si="7"/>
        <v>-0.021501629321487803</v>
      </c>
      <c r="P67" s="47">
        <f t="shared" si="10"/>
        <v>0.9912862368956461</v>
      </c>
      <c r="Q67" s="10"/>
      <c r="R67" s="43">
        <f>IF(ZR7&lt;&gt;0,ZR10/Spiegeldurchmesser*2,1)</f>
        <v>0.9752052545155993</v>
      </c>
      <c r="S67" s="29">
        <f>$S$37</f>
        <v>0.16</v>
      </c>
    </row>
    <row r="68" spans="13:17" ht="12.75">
      <c r="M68" s="45">
        <f t="shared" si="6"/>
        <v>289.275</v>
      </c>
      <c r="N68" s="10">
        <v>0.95</v>
      </c>
      <c r="O68" s="10">
        <f t="shared" si="7"/>
        <v>-0.07030435546111291</v>
      </c>
      <c r="P68" s="47">
        <f t="shared" si="10"/>
        <v>10.884354295294237</v>
      </c>
      <c r="Q68" s="10"/>
    </row>
    <row r="69" spans="13:17" ht="12.75">
      <c r="M69" s="45">
        <f t="shared" si="6"/>
        <v>296.8875</v>
      </c>
      <c r="N69" s="10">
        <v>0.975</v>
      </c>
      <c r="O69" s="10">
        <f t="shared" si="7"/>
        <v>-0.13452210063772063</v>
      </c>
      <c r="P69" s="47">
        <f t="shared" si="10"/>
        <v>40.898417049035935</v>
      </c>
      <c r="Q69" s="10"/>
    </row>
    <row r="70" spans="13:17" ht="12.75">
      <c r="M70" s="45">
        <f t="shared" si="6"/>
        <v>304.5</v>
      </c>
      <c r="N70" s="10">
        <v>1</v>
      </c>
      <c r="O70" s="10">
        <f t="shared" si="7"/>
        <v>-1.6560086635308835E-12</v>
      </c>
      <c r="P70" s="47">
        <f t="shared" si="10"/>
        <v>6.356818499751242E-21</v>
      </c>
      <c r="Q70" s="10"/>
    </row>
    <row r="71" spans="14:17" ht="12.75">
      <c r="N71" s="48"/>
      <c r="O71" s="49" t="s">
        <v>32</v>
      </c>
      <c r="P71" s="50">
        <f>SUM(P30:P70)</f>
        <v>175.56888975538072</v>
      </c>
      <c r="Q71" s="50"/>
    </row>
    <row r="72" spans="14:16" ht="12.75">
      <c r="N72" s="10"/>
      <c r="O72" s="10" t="s">
        <v>33</v>
      </c>
      <c r="P72" s="8">
        <f>SQRT(P71/(PI()/4*Spiegeldurchmesser^2))</f>
        <v>0.024550568209416194</v>
      </c>
    </row>
  </sheetData>
  <printOptions/>
  <pageMargins left="0.75" right="0.49" top="0.72" bottom="0.74" header="0.56" footer="0.511811023"/>
  <pageSetup horizontalDpi="300" verticalDpi="300" orientation="portrait" paperSize="9" scale="88" r:id="rId4"/>
  <headerFooter alignWithMargins="0">
    <oddFooter>&amp;L&amp;"Helvetica,Standard"&amp;7Stathis Kafalis&amp;R&amp;"Helvetica,Standard"&amp;7Ausdruck vom : &amp;D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7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J33"/>
  <sheetViews>
    <sheetView workbookViewId="0" topLeftCell="A1">
      <selection activeCell="D24" sqref="D24"/>
    </sheetView>
  </sheetViews>
  <sheetFormatPr defaultColWidth="11.421875" defaultRowHeight="12.75"/>
  <cols>
    <col min="3" max="3" width="12.7109375" style="0" customWidth="1"/>
  </cols>
  <sheetData>
    <row r="1" spans="1:5" ht="12.75">
      <c r="A1" s="59" t="s">
        <v>43</v>
      </c>
      <c r="E1" t="s">
        <v>49</v>
      </c>
    </row>
    <row r="2" spans="1:3" ht="12.75">
      <c r="A2" s="8" t="s">
        <v>2</v>
      </c>
      <c r="C2" s="57">
        <f>Spiegeldurchmesser</f>
        <v>609</v>
      </c>
    </row>
    <row r="3" spans="1:3" ht="13.5" thickBot="1">
      <c r="A3" s="8" t="s">
        <v>3</v>
      </c>
      <c r="C3" s="58">
        <f>Kurvenradius</f>
        <v>5035</v>
      </c>
    </row>
    <row r="4" spans="1:3" ht="13.5" thickBot="1">
      <c r="A4" s="61" t="s">
        <v>45</v>
      </c>
      <c r="C4" s="38">
        <v>15.6</v>
      </c>
    </row>
    <row r="5" spans="1:3" ht="13.5" thickBot="1">
      <c r="A5" s="61" t="s">
        <v>47</v>
      </c>
      <c r="C5" s="38">
        <v>1</v>
      </c>
    </row>
    <row r="6" spans="1:3" ht="12.75">
      <c r="A6" s="8" t="s">
        <v>46</v>
      </c>
      <c r="C6" s="62">
        <f>C18^2-D18^2</f>
        <v>9257.040000000008</v>
      </c>
    </row>
    <row r="8" spans="1:10" ht="12.75">
      <c r="A8" s="42" t="s">
        <v>38</v>
      </c>
      <c r="B8" s="42" t="s">
        <v>39</v>
      </c>
      <c r="C8" s="42" t="s">
        <v>40</v>
      </c>
      <c r="D8" s="42" t="s">
        <v>41</v>
      </c>
      <c r="E8" s="42" t="s">
        <v>44</v>
      </c>
      <c r="F8" s="42" t="s">
        <v>42</v>
      </c>
      <c r="G8" s="42" t="s">
        <v>48</v>
      </c>
      <c r="H8" s="42"/>
      <c r="I8" s="42"/>
      <c r="J8" s="42"/>
    </row>
    <row r="9" spans="1:10" ht="12.75">
      <c r="A9" s="42">
        <v>1</v>
      </c>
      <c r="B9" s="63">
        <f>(C9+D9)/2</f>
        <v>38.117379070912804</v>
      </c>
      <c r="C9" s="63">
        <f aca="true" t="shared" si="0" ref="C9:C16">D10-$C$5</f>
        <v>76.23475814182561</v>
      </c>
      <c r="D9" s="63">
        <v>0</v>
      </c>
      <c r="E9" s="63">
        <f aca="true" t="shared" si="1" ref="E9:E16">C9-D9</f>
        <v>76.23475814182561</v>
      </c>
      <c r="F9" s="60">
        <f aca="true" t="shared" si="2" ref="F9:F16">B9*B9/$C$3</f>
        <v>0.28856694880549383</v>
      </c>
      <c r="G9" s="60"/>
      <c r="H9" s="42"/>
      <c r="I9" s="42"/>
      <c r="J9" s="42"/>
    </row>
    <row r="10" spans="1:10" ht="12.75">
      <c r="A10" s="42">
        <v>2</v>
      </c>
      <c r="B10" s="63">
        <f aca="true" t="shared" si="3" ref="B10:B16">(C10+D10)/2</f>
        <v>100.30661610871849</v>
      </c>
      <c r="C10" s="63">
        <f t="shared" si="0"/>
        <v>123.37847407561136</v>
      </c>
      <c r="D10" s="63">
        <f aca="true" t="shared" si="4" ref="D10:D16">SQRT(C10^2-$C$6)</f>
        <v>77.23475814182561</v>
      </c>
      <c r="E10" s="63">
        <f t="shared" si="1"/>
        <v>46.14371593378576</v>
      </c>
      <c r="F10" s="60">
        <f t="shared" si="2"/>
        <v>1.9982953793806997</v>
      </c>
      <c r="G10" s="60">
        <f aca="true" t="shared" si="5" ref="G10:G16">F10-F9</f>
        <v>1.7097284305752058</v>
      </c>
      <c r="H10" s="42"/>
      <c r="I10" s="42"/>
      <c r="J10" s="42"/>
    </row>
    <row r="11" spans="1:10" ht="12.75">
      <c r="A11" s="42">
        <v>3</v>
      </c>
      <c r="B11" s="63">
        <f t="shared" si="3"/>
        <v>140.81341400230167</v>
      </c>
      <c r="C11" s="63">
        <f t="shared" si="0"/>
        <v>157.248353928992</v>
      </c>
      <c r="D11" s="63">
        <f t="shared" si="4"/>
        <v>124.37847407561136</v>
      </c>
      <c r="E11" s="63">
        <f t="shared" si="1"/>
        <v>32.86987985338064</v>
      </c>
      <c r="F11" s="60">
        <f t="shared" si="2"/>
        <v>3.938116695726635</v>
      </c>
      <c r="G11" s="60">
        <f t="shared" si="5"/>
        <v>1.9398213163459352</v>
      </c>
      <c r="H11" s="42"/>
      <c r="I11" s="42"/>
      <c r="J11" s="42"/>
    </row>
    <row r="12" spans="1:10" ht="12.75">
      <c r="A12" s="42">
        <v>4</v>
      </c>
      <c r="B12" s="63">
        <f t="shared" si="3"/>
        <v>171.7249079567991</v>
      </c>
      <c r="C12" s="63">
        <f t="shared" si="0"/>
        <v>185.20146198460617</v>
      </c>
      <c r="D12" s="63">
        <f t="shared" si="4"/>
        <v>158.248353928992</v>
      </c>
      <c r="E12" s="63">
        <f t="shared" si="1"/>
        <v>26.953108055614166</v>
      </c>
      <c r="F12" s="60">
        <f t="shared" si="2"/>
        <v>5.856890568574204</v>
      </c>
      <c r="G12" s="60">
        <f t="shared" si="5"/>
        <v>1.9187738728475687</v>
      </c>
      <c r="H12" s="42"/>
      <c r="I12" s="42"/>
      <c r="J12" s="42"/>
    </row>
    <row r="13" spans="1:10" ht="12.75">
      <c r="A13" s="42">
        <v>5</v>
      </c>
      <c r="B13" s="63">
        <f t="shared" si="3"/>
        <v>197.89579820112348</v>
      </c>
      <c r="C13" s="63">
        <f t="shared" si="0"/>
        <v>209.5901344176408</v>
      </c>
      <c r="D13" s="63">
        <f t="shared" si="4"/>
        <v>186.20146198460617</v>
      </c>
      <c r="E13" s="63">
        <f t="shared" si="1"/>
        <v>23.38867243303463</v>
      </c>
      <c r="F13" s="60">
        <f t="shared" si="2"/>
        <v>7.778102670438886</v>
      </c>
      <c r="G13" s="60">
        <f t="shared" si="5"/>
        <v>1.9212121018646826</v>
      </c>
      <c r="H13" s="42"/>
      <c r="I13" s="42"/>
      <c r="J13" s="42"/>
    </row>
    <row r="14" spans="1:10" ht="12.75">
      <c r="A14" s="42">
        <v>6</v>
      </c>
      <c r="B14" s="63">
        <f t="shared" si="3"/>
        <v>221.0590995267645</v>
      </c>
      <c r="C14" s="63">
        <f t="shared" si="0"/>
        <v>231.5280646358882</v>
      </c>
      <c r="D14" s="63">
        <f t="shared" si="4"/>
        <v>210.5901344176408</v>
      </c>
      <c r="E14" s="63">
        <f t="shared" si="1"/>
        <v>20.937930218247402</v>
      </c>
      <c r="F14" s="60">
        <f t="shared" si="2"/>
        <v>9.70548668988758</v>
      </c>
      <c r="G14" s="60">
        <f t="shared" si="5"/>
        <v>1.9273840194486942</v>
      </c>
      <c r="H14" s="42"/>
      <c r="I14" s="42"/>
      <c r="J14" s="42"/>
    </row>
    <row r="15" spans="1:10" ht="12.75">
      <c r="A15" s="42">
        <v>7</v>
      </c>
      <c r="B15" s="63">
        <f t="shared" si="3"/>
        <v>242.08765971291294</v>
      </c>
      <c r="C15" s="63">
        <f t="shared" si="0"/>
        <v>251.64725478993768</v>
      </c>
      <c r="D15" s="63">
        <f t="shared" si="4"/>
        <v>232.5280646358882</v>
      </c>
      <c r="E15" s="63">
        <f t="shared" si="1"/>
        <v>19.119190154049477</v>
      </c>
      <c r="F15" s="60">
        <f t="shared" si="2"/>
        <v>11.639808338684237</v>
      </c>
      <c r="G15" s="60">
        <f t="shared" si="5"/>
        <v>1.9343216487966561</v>
      </c>
      <c r="H15" s="42"/>
      <c r="I15" s="42"/>
      <c r="J15" s="42"/>
    </row>
    <row r="16" spans="1:10" ht="12.75">
      <c r="A16" s="42">
        <v>8</v>
      </c>
      <c r="B16" s="63">
        <f t="shared" si="3"/>
        <v>261.49728917204334</v>
      </c>
      <c r="C16" s="63">
        <f t="shared" si="0"/>
        <v>270.34732355414894</v>
      </c>
      <c r="D16" s="63">
        <f t="shared" si="4"/>
        <v>252.64725478993768</v>
      </c>
      <c r="E16" s="63">
        <f t="shared" si="1"/>
        <v>17.700068764211267</v>
      </c>
      <c r="F16" s="60">
        <f t="shared" si="2"/>
        <v>13.581098757562511</v>
      </c>
      <c r="G16" s="60">
        <f t="shared" si="5"/>
        <v>1.9412904188782747</v>
      </c>
      <c r="H16" s="42"/>
      <c r="I16" s="42"/>
      <c r="J16" s="42"/>
    </row>
    <row r="17" spans="1:10" ht="12.75">
      <c r="A17" s="42">
        <v>9</v>
      </c>
      <c r="B17" s="63">
        <f>(C17+D17)/2</f>
        <v>279.62366177707446</v>
      </c>
      <c r="C17" s="63">
        <f>D18-$C$5</f>
        <v>287.9</v>
      </c>
      <c r="D17" s="63">
        <f>SQRT(C17^2-$C$6)</f>
        <v>271.34732355414894</v>
      </c>
      <c r="E17" s="63">
        <f>C17-D17</f>
        <v>16.552676445851034</v>
      </c>
      <c r="F17" s="60">
        <f>B17*B17/$C$3</f>
        <v>15.529174225545129</v>
      </c>
      <c r="G17" s="60">
        <f>F17-F16</f>
        <v>1.9480754679826173</v>
      </c>
      <c r="H17" s="42"/>
      <c r="I17" s="42"/>
      <c r="J17" s="42"/>
    </row>
    <row r="18" spans="1:10" ht="12.75">
      <c r="A18" s="42">
        <v>10</v>
      </c>
      <c r="B18" s="63">
        <f>(C18+D18)/2</f>
        <v>296.7</v>
      </c>
      <c r="C18" s="63">
        <f>C2/2</f>
        <v>304.5</v>
      </c>
      <c r="D18" s="63">
        <f>C18-C4</f>
        <v>288.9</v>
      </c>
      <c r="E18" s="63">
        <f>C18-D18</f>
        <v>15.600000000000023</v>
      </c>
      <c r="F18" s="60">
        <f>B18*B18/$C$3</f>
        <v>17.48379145978153</v>
      </c>
      <c r="G18" s="60">
        <f>F18-F17</f>
        <v>1.9546172342363999</v>
      </c>
      <c r="H18" s="42"/>
      <c r="I18" s="42"/>
      <c r="J18" s="42"/>
    </row>
    <row r="19" spans="1:10" ht="12.75">
      <c r="A19" s="42"/>
      <c r="B19" s="63"/>
      <c r="C19" s="63"/>
      <c r="D19" s="63"/>
      <c r="E19" s="63"/>
      <c r="F19" s="60"/>
      <c r="G19" s="60"/>
      <c r="H19" s="42"/>
      <c r="I19" s="42"/>
      <c r="J19" s="42"/>
    </row>
    <row r="20" spans="1:10" ht="12.75">
      <c r="A20" s="42"/>
      <c r="B20" s="63"/>
      <c r="C20" s="63"/>
      <c r="D20" s="63"/>
      <c r="E20" s="63"/>
      <c r="F20" s="60"/>
      <c r="G20" s="60"/>
      <c r="H20" s="42"/>
      <c r="I20" s="42"/>
      <c r="J20" s="42"/>
    </row>
    <row r="21" spans="1:10" ht="12.75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2.75">
      <c r="A22" s="64" t="s">
        <v>50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8" ht="12.75">
      <c r="A23" s="42" t="s">
        <v>38</v>
      </c>
      <c r="B23" s="42" t="s">
        <v>39</v>
      </c>
      <c r="C23" s="42" t="s">
        <v>40</v>
      </c>
      <c r="D23" s="42" t="s">
        <v>41</v>
      </c>
      <c r="E23" s="42"/>
      <c r="F23" s="42"/>
      <c r="H23" s="42"/>
    </row>
    <row r="24" spans="1:5" ht="12.75">
      <c r="A24" s="42">
        <v>1</v>
      </c>
      <c r="B24" s="63">
        <f aca="true" t="shared" si="6" ref="B24:B33">(C24+D24)/2</f>
        <v>38.35</v>
      </c>
      <c r="C24" s="63">
        <v>76.7</v>
      </c>
      <c r="D24" s="63">
        <v>0</v>
      </c>
      <c r="E24" s="60"/>
    </row>
    <row r="25" spans="1:9" ht="12.75">
      <c r="A25" s="42">
        <v>2</v>
      </c>
      <c r="B25" s="63">
        <f t="shared" si="6"/>
        <v>100.35</v>
      </c>
      <c r="C25" s="63">
        <v>123</v>
      </c>
      <c r="D25" s="63">
        <v>77.7</v>
      </c>
      <c r="E25" s="60"/>
      <c r="F25" s="65"/>
      <c r="I25" s="66"/>
    </row>
    <row r="26" spans="1:9" ht="12.75">
      <c r="A26" s="42">
        <v>3</v>
      </c>
      <c r="B26" s="63">
        <f t="shared" si="6"/>
        <v>140.89999999999998</v>
      </c>
      <c r="C26" s="63">
        <v>157.2</v>
      </c>
      <c r="D26" s="63">
        <v>124.6</v>
      </c>
      <c r="E26" s="60"/>
      <c r="F26" s="65"/>
      <c r="I26" s="66"/>
    </row>
    <row r="27" spans="1:9" ht="12.75">
      <c r="A27" s="42">
        <v>4</v>
      </c>
      <c r="B27" s="63">
        <f t="shared" si="6"/>
        <v>171.95</v>
      </c>
      <c r="C27" s="63">
        <v>185.5</v>
      </c>
      <c r="D27" s="63">
        <v>158.4</v>
      </c>
      <c r="E27" s="60"/>
      <c r="F27" s="65"/>
      <c r="I27" s="66"/>
    </row>
    <row r="28" spans="1:9" ht="12.75">
      <c r="A28" s="42">
        <v>5</v>
      </c>
      <c r="B28" s="63">
        <f t="shared" si="6"/>
        <v>198.15</v>
      </c>
      <c r="C28" s="63">
        <v>209.5</v>
      </c>
      <c r="D28" s="63">
        <v>186.8</v>
      </c>
      <c r="E28" s="60"/>
      <c r="F28" s="65"/>
      <c r="I28" s="66"/>
    </row>
    <row r="29" spans="1:9" ht="12.75">
      <c r="A29" s="42">
        <v>6</v>
      </c>
      <c r="B29" s="63">
        <f t="shared" si="6"/>
        <v>221</v>
      </c>
      <c r="C29" s="63">
        <v>231.5</v>
      </c>
      <c r="D29" s="63">
        <v>210.5</v>
      </c>
      <c r="E29" s="60"/>
      <c r="F29" s="65"/>
      <c r="I29" s="66"/>
    </row>
    <row r="30" spans="1:9" ht="12.75">
      <c r="A30" s="42">
        <v>7</v>
      </c>
      <c r="B30" s="63">
        <f t="shared" si="6"/>
        <v>241.8</v>
      </c>
      <c r="C30" s="63">
        <v>251.1</v>
      </c>
      <c r="D30" s="63">
        <v>232.5</v>
      </c>
      <c r="E30" s="60"/>
      <c r="F30" s="65"/>
      <c r="I30" s="66"/>
    </row>
    <row r="31" spans="1:9" ht="12.75">
      <c r="A31" s="42">
        <v>8</v>
      </c>
      <c r="B31" s="63">
        <f t="shared" si="6"/>
        <v>261.3</v>
      </c>
      <c r="C31" s="63">
        <v>270.1</v>
      </c>
      <c r="D31" s="63">
        <v>252.5</v>
      </c>
      <c r="E31" s="60"/>
      <c r="F31" s="65"/>
      <c r="I31" s="66"/>
    </row>
    <row r="32" spans="1:9" ht="12.75">
      <c r="A32" s="42">
        <v>9</v>
      </c>
      <c r="B32" s="63">
        <f t="shared" si="6"/>
        <v>279.75</v>
      </c>
      <c r="C32" s="63">
        <v>288.3</v>
      </c>
      <c r="D32" s="63">
        <v>271.2</v>
      </c>
      <c r="E32" s="60"/>
      <c r="F32" s="65"/>
      <c r="I32" s="66"/>
    </row>
    <row r="33" spans="1:9" ht="12.75">
      <c r="A33" s="42">
        <v>10</v>
      </c>
      <c r="B33" s="63">
        <f t="shared" si="6"/>
        <v>296.95</v>
      </c>
      <c r="C33" s="63">
        <f>C2/2</f>
        <v>304.5</v>
      </c>
      <c r="D33" s="63">
        <v>289.4</v>
      </c>
      <c r="E33" s="60"/>
      <c r="F33" s="65"/>
      <c r="I33" s="66"/>
    </row>
  </sheetData>
  <printOptions gridLines="1"/>
  <pageMargins left="0.75" right="0.75" top="1" bottom="1" header="0.511811023" footer="0.511811023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Formblatt</dc:title>
  <dc:subject/>
  <dc:creator>Stathis Kafalis</dc:creator>
  <cp:keywords/>
  <dc:description/>
  <cp:lastModifiedBy>Stathis Kafalis</cp:lastModifiedBy>
  <cp:lastPrinted>2002-02-12T19:10:10Z</cp:lastPrinted>
  <dcterms:created xsi:type="dcterms:W3CDTF">2000-09-15T12:32:31Z</dcterms:created>
  <dcterms:modified xsi:type="dcterms:W3CDTF">2002-02-22T21:07:30Z</dcterms:modified>
  <cp:category/>
  <cp:version/>
  <cp:contentType/>
  <cp:contentStatus/>
</cp:coreProperties>
</file>