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605" windowWidth="10950" windowHeight="8265" tabRatio="302" firstSheet="0" activeTab="0"/>
  </bookViews>
  <sheets>
    <sheet name="Fehler Kurve" sheetId="1" r:id="rId1"/>
    <sheet name="Couder Maske" sheetId="2" r:id="rId2"/>
    <sheet name="Tabelle2" sheetId="3" r:id="rId3"/>
    <sheet name="Tabelle3" sheetId="4" r:id="rId4"/>
    <sheet name="Tabelle4" sheetId="5" r:id="rId5"/>
    <sheet name="Tabelle5" sheetId="6" r:id="rId6"/>
    <sheet name="Tabelle6" sheetId="7" r:id="rId7"/>
    <sheet name="Tabelle7" sheetId="8" r:id="rId8"/>
    <sheet name="Tabelle8" sheetId="9" r:id="rId9"/>
    <sheet name="Tabelle9" sheetId="10" r:id="rId10"/>
    <sheet name="Tabelle10" sheetId="11" r:id="rId11"/>
    <sheet name="Tabelle11" sheetId="12" r:id="rId12"/>
    <sheet name="Tabelle12" sheetId="13" r:id="rId13"/>
    <sheet name="Tabelle13" sheetId="14" r:id="rId14"/>
    <sheet name="Tabelle14" sheetId="15" r:id="rId15"/>
    <sheet name="Tabelle15" sheetId="16" r:id="rId16"/>
    <sheet name="Tabelle16" sheetId="17" r:id="rId17"/>
  </sheets>
  <externalReferences>
    <externalReference r:id="rId20"/>
  </externalReferences>
  <definedNames>
    <definedName name="AnzZonen">'Fehler Kurve'!$B$9</definedName>
    <definedName name="_xlnm.Print_Area" localSheetId="0">'Fehler Kurve'!$A$1:$I$56</definedName>
    <definedName name="Kurvenradius" localSheetId="1">'[1]Fehler Kurve'!$B$6</definedName>
    <definedName name="Kurvenradius">'Fehler Kurve'!$B$6</definedName>
    <definedName name="Max">'Fehler Kurve'!$Q$32</definedName>
    <definedName name="min">'Fehler Kurve'!$Q$31</definedName>
    <definedName name="ParabolGrad">'Fehler Kurve'!$B$10</definedName>
    <definedName name="RMS">'Fehler Kurve'!$N$71</definedName>
    <definedName name="Spiegeldurchmesser" localSheetId="1">'[1]Fehler Kurve'!$B$5</definedName>
    <definedName name="Spiegeldurchmesser">'Fehler Kurve'!$B$5</definedName>
    <definedName name="ZM1">'Fehler Kurve'!$B$18</definedName>
    <definedName name="ZM2">'Fehler Kurve'!$C$18</definedName>
    <definedName name="ZM3">'Fehler Kurve'!$D$18</definedName>
    <definedName name="ZM4">'Fehler Kurve'!$E$18</definedName>
    <definedName name="ZM5">'Fehler Kurve'!$F$18</definedName>
    <definedName name="ZM6">'Fehler Kurve'!$G$18</definedName>
    <definedName name="ZM7">'Fehler Kurve'!$H$18</definedName>
    <definedName name="ZR1">'Fehler Kurve'!$B$14</definedName>
    <definedName name="ZR2">'Fehler Kurve'!$C$14</definedName>
    <definedName name="ZR3">'Fehler Kurve'!$D$14</definedName>
    <definedName name="ZR4">'Fehler Kurve'!$E$14</definedName>
    <definedName name="ZR5">'Fehler Kurve'!$F$14</definedName>
    <definedName name="ZR6">'Fehler Kurve'!$G$14</definedName>
    <definedName name="ZR7">'Fehler Kurve'!$H$14</definedName>
  </definedNames>
  <calcPr fullCalcOnLoad="1"/>
</workbook>
</file>

<file path=xl/comments1.xml><?xml version="1.0" encoding="utf-8"?>
<comments xmlns="http://schemas.openxmlformats.org/spreadsheetml/2006/main">
  <authors>
    <author>Ein gesch?tzter Microsoft Office Anwender</author>
  </authors>
  <commentList>
    <comment ref="A14" authorId="0">
      <text>
        <r>
          <rPr>
            <sz val="8"/>
            <rFont val="Tahoma"/>
            <family val="0"/>
          </rPr>
          <t>Mittlere Zonen Radien aus "Couder Maske" ermitteln</t>
        </r>
      </text>
    </comment>
    <comment ref="A16" authorId="0">
      <text>
        <r>
          <rPr>
            <sz val="8"/>
            <rFont val="Tahoma"/>
            <family val="0"/>
          </rPr>
          <t>Ablesewerte der mittleren Krümmungsradien am Tester bezogen auf "moving light source"</t>
        </r>
      </text>
    </comment>
    <comment ref="A17" authorId="0">
      <text>
        <r>
          <rPr>
            <sz val="8"/>
            <rFont val="Tahoma"/>
            <family val="0"/>
          </rPr>
          <t xml:space="preserve">Umrechnung für Konfiguration "fixed light source". 
</t>
        </r>
      </text>
    </comment>
    <comment ref="I19" authorId="0">
      <text>
        <r>
          <rPr>
            <sz val="8"/>
            <rFont val="Tahoma"/>
            <family val="0"/>
          </rPr>
          <t>Delta R gesamt theoretisch über den gesamten Spiegelradius mit Delta R = Spiegelradius^2 / Kurvenradius</t>
        </r>
      </text>
    </comment>
    <comment ref="I16" authorId="0">
      <text>
        <r>
          <rPr>
            <sz val="8"/>
            <rFont val="Tahoma"/>
            <family val="0"/>
          </rPr>
          <t>Hier zur Kontrolle die gesamt Brennweitendifferenz
"Rand - Mitte", gemessen ohne Masken eintragen.
(Moving light source!)
Geht nicht in die Rechnung ein</t>
        </r>
      </text>
    </comment>
  </commentList>
</comments>
</file>

<file path=xl/sharedStrings.xml><?xml version="1.0" encoding="utf-8"?>
<sst xmlns="http://schemas.openxmlformats.org/spreadsheetml/2006/main" count="65" uniqueCount="59">
  <si>
    <t>Foucault Test Analyse</t>
  </si>
  <si>
    <t xml:space="preserve">Messung vom: </t>
  </si>
  <si>
    <t>Spiegeldurchmesser:</t>
  </si>
  <si>
    <t>Kurvenradius:</t>
  </si>
  <si>
    <t>Brennweite:</t>
  </si>
  <si>
    <t>Öffnungsverhältnis:</t>
  </si>
  <si>
    <t>Anzahl der Zonen:</t>
  </si>
  <si>
    <t>(minimal 2; maximal 7)</t>
  </si>
  <si>
    <t>Parabolisierungsgrad:</t>
  </si>
  <si>
    <t>( 0= Sphäre; 1= Parabel; &lt;0 &lt;1: Ellipse)</t>
  </si>
  <si>
    <t>Zone Nr.</t>
  </si>
  <si>
    <t>Gesamt</t>
  </si>
  <si>
    <t>Mitte-Rand</t>
  </si>
  <si>
    <t>Zonen Radius [mm]</t>
  </si>
  <si>
    <t>Rel. Zonen Radius</t>
  </si>
  <si>
    <t>Foucoult Position [mm]</t>
  </si>
  <si>
    <t>[Zonen Messung</t>
  </si>
  <si>
    <r>
      <t>D</t>
    </r>
    <r>
      <rPr>
        <sz val="10"/>
        <rFont val="Helvetica"/>
        <family val="2"/>
      </rPr>
      <t>R theor. -Z1 [mm]</t>
    </r>
  </si>
  <si>
    <t>Differenz [mm]</t>
  </si>
  <si>
    <t>Theor. Differenz [mm]</t>
  </si>
  <si>
    <t>Korrektur</t>
  </si>
  <si>
    <t>Wavefront error (peak to valley):</t>
  </si>
  <si>
    <t>Surface error (peak to valley):</t>
  </si>
  <si>
    <t>Bezogen auf Parabolisierungsgrad:</t>
  </si>
  <si>
    <t>WE^2* Ai</t>
  </si>
  <si>
    <t>Radius</t>
  </si>
  <si>
    <t>Rel. Radius</t>
  </si>
  <si>
    <t>min</t>
  </si>
  <si>
    <t>Max</t>
  </si>
  <si>
    <t>Zonen darstellen</t>
  </si>
  <si>
    <t>Linienhöhe ---&gt;</t>
  </si>
  <si>
    <t>x</t>
  </si>
  <si>
    <t>y</t>
  </si>
  <si>
    <t xml:space="preserve">summe WEi^2*Ai= </t>
  </si>
  <si>
    <t xml:space="preserve">RMS= </t>
  </si>
  <si>
    <t xml:space="preserve"> - ZM(1) ] x 2</t>
  </si>
  <si>
    <r>
      <t>D</t>
    </r>
    <r>
      <rPr>
        <sz val="10"/>
        <rFont val="Helvetica"/>
        <family val="2"/>
      </rPr>
      <t>R gesamt ohne Maske gemessen ---&gt;</t>
    </r>
  </si>
  <si>
    <t>Strehl Ratio:</t>
  </si>
  <si>
    <t>Wavefront RMS:</t>
  </si>
  <si>
    <t>Berechnung der Couder Maske</t>
  </si>
  <si>
    <t>Grüne Werte eintragen</t>
  </si>
  <si>
    <t>Breite Außenzone</t>
  </si>
  <si>
    <t>Abstand der Zonen</t>
  </si>
  <si>
    <t>a</t>
  </si>
  <si>
    <t>Zone</t>
  </si>
  <si>
    <t>r mittel</t>
  </si>
  <si>
    <t>r aussen</t>
  </si>
  <si>
    <t>r innen</t>
  </si>
  <si>
    <t>Breite</t>
  </si>
  <si>
    <t>rm^2/R</t>
  </si>
  <si>
    <t>Diff</t>
  </si>
  <si>
    <t>Tatsächlich gemessene Werte</t>
  </si>
  <si>
    <t>Slittles Tester auf Kreuztisch</t>
  </si>
  <si>
    <r>
      <t>Wavefront Error [</t>
    </r>
    <r>
      <rPr>
        <sz val="10"/>
        <rFont val="Symbol"/>
        <family val="1"/>
      </rPr>
      <t>l</t>
    </r>
    <r>
      <rPr>
        <sz val="10"/>
        <rFont val="Arial"/>
        <family val="0"/>
      </rPr>
      <t>]</t>
    </r>
  </si>
  <si>
    <t>2 Messungen gemittelt</t>
  </si>
  <si>
    <t>mit gespiegelter Maske</t>
  </si>
  <si>
    <t>Dannach 1:10 Min mit 25 cm PH</t>
  </si>
  <si>
    <t>zum Ausgleichen</t>
  </si>
  <si>
    <t>14" f/4,5 Spiegel</t>
  </si>
</sst>
</file>

<file path=xl/styles.xml><?xml version="1.0" encoding="utf-8"?>
<styleSheet xmlns="http://schemas.openxmlformats.org/spreadsheetml/2006/main">
  <numFmts count="2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&quot; mm&quot;"/>
    <numFmt numFmtId="165" formatCode="&quot;f/ &quot;0.00"/>
    <numFmt numFmtId="166" formatCode="0.0%"/>
    <numFmt numFmtId="167" formatCode="&quot;L / &quot;0.0"/>
    <numFmt numFmtId="168" formatCode="&quot;l / &quot;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&quot;l/ &quot;0.0"/>
    <numFmt numFmtId="175" formatCode="0.0"/>
    <numFmt numFmtId="176" formatCode="#,##0&quot; mm&quot;"/>
    <numFmt numFmtId="177" formatCode="0.0E+00"/>
    <numFmt numFmtId="178" formatCode="0E+00"/>
    <numFmt numFmtId="179" formatCode="0.000E+00"/>
    <numFmt numFmtId="180" formatCode="#,##0&quot; mm^2&quot;"/>
    <numFmt numFmtId="181" formatCode="#,##0.0&quot; mm^2&quot;"/>
    <numFmt numFmtId="182" formatCode="#,##0.00&quot; mm^2&quot;"/>
    <numFmt numFmtId="183" formatCode="0.00&quot; l&quot;"/>
    <numFmt numFmtId="184" formatCode="0.00000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Helv"/>
      <family val="0"/>
    </font>
    <font>
      <sz val="10"/>
      <name val="Symbol"/>
      <family val="1"/>
    </font>
    <font>
      <sz val="10"/>
      <name val="Helvetica"/>
      <family val="2"/>
    </font>
    <font>
      <b/>
      <sz val="12"/>
      <name val="Arial"/>
      <family val="2"/>
    </font>
    <font>
      <b/>
      <sz val="12"/>
      <name val="Symbol"/>
      <family val="1"/>
    </font>
    <font>
      <sz val="8"/>
      <name val="Arial"/>
      <family val="2"/>
    </font>
    <font>
      <b/>
      <sz val="11.5"/>
      <name val="Arial"/>
      <family val="2"/>
    </font>
    <font>
      <b/>
      <sz val="10"/>
      <color indexed="17"/>
      <name val="Arial"/>
      <family val="2"/>
    </font>
    <font>
      <sz val="8"/>
      <name val="Helvetica"/>
      <family val="0"/>
    </font>
    <font>
      <b/>
      <sz val="10"/>
      <name val="Helvetica"/>
      <family val="0"/>
    </font>
    <font>
      <sz val="8"/>
      <name val="Tahoma"/>
      <family val="0"/>
    </font>
    <font>
      <b/>
      <sz val="14"/>
      <color indexed="12"/>
      <name val="Arial"/>
      <family val="2"/>
    </font>
    <font>
      <sz val="12"/>
      <color indexed="5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 style="hair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9" fontId="0" fillId="0" borderId="1" xfId="0" applyNumberFormat="1" applyBorder="1" applyAlignment="1" applyProtection="1">
      <alignment horizontal="center"/>
      <protection/>
    </xf>
    <xf numFmtId="2" fontId="0" fillId="0" borderId="2" xfId="0" applyNumberFormat="1" applyBorder="1" applyAlignment="1" applyProtection="1">
      <alignment horizontal="right"/>
      <protection/>
    </xf>
    <xf numFmtId="2" fontId="0" fillId="0" borderId="3" xfId="0" applyNumberFormat="1" applyBorder="1" applyAlignment="1" applyProtection="1">
      <alignment horizontal="right"/>
      <protection/>
    </xf>
    <xf numFmtId="2" fontId="0" fillId="0" borderId="3" xfId="0" applyNumberFormat="1" applyBorder="1" applyAlignment="1" applyProtection="1">
      <alignment horizontal="center"/>
      <protection/>
    </xf>
    <xf numFmtId="2" fontId="0" fillId="0" borderId="3" xfId="0" applyNumberFormat="1" applyBorder="1" applyAlignment="1" applyProtection="1">
      <alignment horizontal="left"/>
      <protection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166" fontId="0" fillId="0" borderId="4" xfId="0" applyNumberFormat="1" applyBorder="1" applyAlignment="1" applyProtection="1">
      <alignment horizontal="left"/>
      <protection/>
    </xf>
    <xf numFmtId="2" fontId="0" fillId="0" borderId="1" xfId="0" applyNumberFormat="1" applyFont="1" applyBorder="1" applyAlignment="1" applyProtection="1">
      <alignment horizontal="center"/>
      <protection/>
    </xf>
    <xf numFmtId="166" fontId="0" fillId="0" borderId="5" xfId="0" applyNumberForma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2" fontId="11" fillId="2" borderId="3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0" fontId="5" fillId="0" borderId="15" xfId="0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74" fontId="8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9" fontId="7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/>
    </xf>
    <xf numFmtId="165" fontId="0" fillId="0" borderId="0" xfId="0" applyNumberForma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9" fontId="0" fillId="0" borderId="2" xfId="0" applyNumberFormat="1" applyBorder="1" applyAlignment="1" applyProtection="1">
      <alignment horizontal="right"/>
      <protection/>
    </xf>
    <xf numFmtId="0" fontId="1" fillId="0" borderId="19" xfId="0" applyFont="1" applyBorder="1" applyAlignment="1" applyProtection="1">
      <alignment horizontal="right"/>
      <protection locked="0"/>
    </xf>
    <xf numFmtId="0" fontId="0" fillId="0" borderId="20" xfId="0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>
      <alignment horizontal="center"/>
    </xf>
    <xf numFmtId="173" fontId="0" fillId="0" borderId="0" xfId="0" applyNumberFormat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175" fontId="0" fillId="0" borderId="0" xfId="0" applyNumberFormat="1" applyAlignment="1" applyProtection="1">
      <alignment/>
      <protection locked="0"/>
    </xf>
    <xf numFmtId="173" fontId="0" fillId="0" borderId="0" xfId="0" applyNumberFormat="1" applyAlignment="1" applyProtection="1">
      <alignment horizontal="right"/>
      <protection locked="0"/>
    </xf>
    <xf numFmtId="2" fontId="11" fillId="0" borderId="21" xfId="0" applyNumberFormat="1" applyFont="1" applyBorder="1" applyAlignment="1" applyProtection="1">
      <alignment horizontal="center"/>
      <protection locked="0"/>
    </xf>
    <xf numFmtId="172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171" fontId="1" fillId="0" borderId="0" xfId="0" applyNumberFormat="1" applyFont="1" applyAlignment="1" applyProtection="1">
      <alignment/>
      <protection locked="0"/>
    </xf>
    <xf numFmtId="173" fontId="0" fillId="0" borderId="0" xfId="0" applyNumberForma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 locked="0"/>
    </xf>
    <xf numFmtId="0" fontId="16" fillId="0" borderId="0" xfId="0" applyFont="1" applyAlignment="1" applyProtection="1">
      <alignment horizontal="right"/>
      <protection locked="0"/>
    </xf>
    <xf numFmtId="173" fontId="10" fillId="0" borderId="0" xfId="0" applyNumberFormat="1" applyFont="1" applyAlignment="1" applyProtection="1">
      <alignment horizontal="center"/>
      <protection locked="0"/>
    </xf>
    <xf numFmtId="2" fontId="0" fillId="0" borderId="21" xfId="0" applyNumberFormat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164" fontId="0" fillId="0" borderId="0" xfId="0" applyNumberForma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 horizontal="left"/>
    </xf>
    <xf numFmtId="180" fontId="0" fillId="0" borderId="0" xfId="0" applyNumberFormat="1" applyFont="1" applyBorder="1" applyAlignment="1" applyProtection="1">
      <alignment/>
      <protection locked="0"/>
    </xf>
    <xf numFmtId="17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75" fontId="0" fillId="0" borderId="20" xfId="0" applyNumberFormat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Wavefront Error</a:t>
            </a:r>
          </a:p>
        </c:rich>
      </c:tx>
      <c:layout>
        <c:manualLayout>
          <c:xMode val="factor"/>
          <c:yMode val="factor"/>
          <c:x val="-0.00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425"/>
          <c:w val="1"/>
          <c:h val="0.93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'Fehler Kurve'!$M$28</c:f>
              <c:strCache>
                <c:ptCount val="1"/>
                <c:pt idx="0">
                  <c:v>Wavefront Error [l]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xVal>
            <c:numRef>
              <c:f>'Fehler Kurve'!$L$29:$L$69</c:f>
              <c:numCache>
                <c:ptCount val="41"/>
                <c:pt idx="0">
                  <c:v>0</c:v>
                </c:pt>
                <c:pt idx="1">
                  <c:v>0.025</c:v>
                </c:pt>
                <c:pt idx="2">
                  <c:v>0.05</c:v>
                </c:pt>
                <c:pt idx="3">
                  <c:v>0.075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0.175</c:v>
                </c:pt>
                <c:pt idx="8">
                  <c:v>0.2</c:v>
                </c:pt>
                <c:pt idx="9">
                  <c:v>0.225</c:v>
                </c:pt>
                <c:pt idx="10">
                  <c:v>0.25</c:v>
                </c:pt>
                <c:pt idx="11">
                  <c:v>0.275</c:v>
                </c:pt>
                <c:pt idx="12">
                  <c:v>0.3</c:v>
                </c:pt>
                <c:pt idx="13">
                  <c:v>0.325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0.425</c:v>
                </c:pt>
                <c:pt idx="18">
                  <c:v>0.45</c:v>
                </c:pt>
                <c:pt idx="19">
                  <c:v>0.475</c:v>
                </c:pt>
                <c:pt idx="20">
                  <c:v>0.5</c:v>
                </c:pt>
                <c:pt idx="21">
                  <c:v>0.525</c:v>
                </c:pt>
                <c:pt idx="22">
                  <c:v>0.55</c:v>
                </c:pt>
                <c:pt idx="23">
                  <c:v>0.575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</c:v>
                </c:pt>
                <c:pt idx="28">
                  <c:v>0.7</c:v>
                </c:pt>
                <c:pt idx="29">
                  <c:v>0.725</c:v>
                </c:pt>
                <c:pt idx="30">
                  <c:v>0.75</c:v>
                </c:pt>
                <c:pt idx="31">
                  <c:v>0.775</c:v>
                </c:pt>
                <c:pt idx="32">
                  <c:v>0.8</c:v>
                </c:pt>
                <c:pt idx="33">
                  <c:v>0.825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</c:v>
                </c:pt>
                <c:pt idx="38">
                  <c:v>0.95</c:v>
                </c:pt>
                <c:pt idx="39">
                  <c:v>0.975</c:v>
                </c:pt>
                <c:pt idx="40">
                  <c:v>1</c:v>
                </c:pt>
              </c:numCache>
            </c:numRef>
          </c:xVal>
          <c:yVal>
            <c:numRef>
              <c:f>'Fehler Kurve'!$M$29:$M$69</c:f>
              <c:numCache>
                <c:ptCount val="41"/>
                <c:pt idx="0">
                  <c:v>0</c:v>
                </c:pt>
                <c:pt idx="1">
                  <c:v>-0.00031455823668619765</c:v>
                </c:pt>
                <c:pt idx="2">
                  <c:v>-0.0012201876072286154</c:v>
                </c:pt>
                <c:pt idx="3">
                  <c:v>-0.0026062518187260734</c:v>
                </c:pt>
                <c:pt idx="4">
                  <c:v>-0.0042997532557554185</c:v>
                </c:pt>
                <c:pt idx="5">
                  <c:v>-0.006081499056377843</c:v>
                </c:pt>
                <c:pt idx="6">
                  <c:v>-0.007706931331034154</c:v>
                </c:pt>
                <c:pt idx="7">
                  <c:v>-0.008929943957302653</c:v>
                </c:pt>
                <c:pt idx="8">
                  <c:v>-0.009527702888316869</c:v>
                </c:pt>
                <c:pt idx="9">
                  <c:v>-0.009324304140466429</c:v>
                </c:pt>
                <c:pt idx="10">
                  <c:v>-0.008211062366095437</c:v>
                </c:pt>
                <c:pt idx="11">
                  <c:v>-0.006161336869023051</c:v>
                </c:pt>
                <c:pt idx="12">
                  <c:v>-0.0032380787697196683</c:v>
                </c:pt>
                <c:pt idx="13">
                  <c:v>0.000407276482482212</c:v>
                </c:pt>
                <c:pt idx="14">
                  <c:v>0.004545350041644879</c:v>
                </c:pt>
                <c:pt idx="15">
                  <c:v>0.008888835213699361</c:v>
                </c:pt>
                <c:pt idx="16">
                  <c:v>0.013121176192768202</c:v>
                </c:pt>
                <c:pt idx="17">
                  <c:v>0.016932167246461988</c:v>
                </c:pt>
                <c:pt idx="18">
                  <c:v>0.020057767427414414</c:v>
                </c:pt>
                <c:pt idx="19">
                  <c:v>0.022320493160585056</c:v>
                </c:pt>
                <c:pt idx="20">
                  <c:v>0.02366592153150443</c:v>
                </c:pt>
                <c:pt idx="21">
                  <c:v>0.024190198870111285</c:v>
                </c:pt>
                <c:pt idx="22">
                  <c:v>0.024153105647070683</c:v>
                </c:pt>
                <c:pt idx="23">
                  <c:v>0.02397129932734332</c:v>
                </c:pt>
                <c:pt idx="24">
                  <c:v>0.024186978331382974</c:v>
                </c:pt>
                <c:pt idx="25">
                  <c:v>0.025408537354421806</c:v>
                </c:pt>
                <c:pt idx="26">
                  <c:v>0.028221990675589947</c:v>
                </c:pt>
                <c:pt idx="27">
                  <c:v>0.033075219333130096</c:v>
                </c:pt>
                <c:pt idx="28">
                  <c:v>0.040141664552627826</c:v>
                </c:pt>
                <c:pt idx="29">
                  <c:v>0.04917617974065813</c:v>
                </c:pt>
                <c:pt idx="30">
                  <c:v>0.059383625517160976</c:v>
                </c:pt>
                <c:pt idx="31">
                  <c:v>0.06933072907302817</c:v>
                </c:pt>
                <c:pt idx="32">
                  <c:v>0.07694403754443285</c:v>
                </c:pt>
                <c:pt idx="33">
                  <c:v>0.07965180747904194</c:v>
                </c:pt>
                <c:pt idx="34">
                  <c:v>0.07474574759124353</c:v>
                </c:pt>
                <c:pt idx="35">
                  <c:v>0.060060055922039945</c:v>
                </c:pt>
                <c:pt idx="36">
                  <c:v>0.035090579515952625</c:v>
                </c:pt>
                <c:pt idx="37">
                  <c:v>0.0027066182326400123</c:v>
                </c:pt>
                <c:pt idx="38">
                  <c:v>-0.0283576321692664</c:v>
                </c:pt>
                <c:pt idx="39">
                  <c:v>-0.0400052445006614</c:v>
                </c:pt>
                <c:pt idx="40">
                  <c:v>4.440892098500626E-16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'Fehler Kurve'!$Q$37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Zone 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'Fehler Kurve'!$P$38:$P$57</c:f>
              <c:numCache>
                <c:ptCount val="20"/>
                <c:pt idx="0">
                  <c:v>0.17360335195530727</c:v>
                </c:pt>
                <c:pt idx="1">
                  <c:v>0.17360335195530727</c:v>
                </c:pt>
                <c:pt idx="3">
                  <c:v>0.4473463687150838</c:v>
                </c:pt>
                <c:pt idx="4">
                  <c:v>0.4473463687150838</c:v>
                </c:pt>
                <c:pt idx="6">
                  <c:v>0.6170391061452514</c:v>
                </c:pt>
                <c:pt idx="7">
                  <c:v>0.6170391061452514</c:v>
                </c:pt>
                <c:pt idx="9">
                  <c:v>0.7466480446927375</c:v>
                </c:pt>
                <c:pt idx="10">
                  <c:v>0.7466480446927375</c:v>
                </c:pt>
                <c:pt idx="12">
                  <c:v>0.8575418994413407</c:v>
                </c:pt>
                <c:pt idx="13">
                  <c:v>0.8575418994413407</c:v>
                </c:pt>
                <c:pt idx="15">
                  <c:v>0.9544692737430167</c:v>
                </c:pt>
                <c:pt idx="16">
                  <c:v>0.9544692737430167</c:v>
                </c:pt>
                <c:pt idx="18">
                  <c:v>1</c:v>
                </c:pt>
                <c:pt idx="19">
                  <c:v>1</c:v>
                </c:pt>
              </c:numCache>
            </c:numRef>
          </c:xVal>
          <c:yVal>
            <c:numRef>
              <c:f>'Fehler Kurve'!$Q$38:$Q$57</c:f>
              <c:numCache>
                <c:ptCount val="20"/>
                <c:pt idx="0">
                  <c:v>-0.16</c:v>
                </c:pt>
                <c:pt idx="1">
                  <c:v>0.16</c:v>
                </c:pt>
                <c:pt idx="3">
                  <c:v>-0.16</c:v>
                </c:pt>
                <c:pt idx="4">
                  <c:v>0.16</c:v>
                </c:pt>
                <c:pt idx="6">
                  <c:v>-0.16</c:v>
                </c:pt>
                <c:pt idx="7">
                  <c:v>0.16</c:v>
                </c:pt>
                <c:pt idx="9">
                  <c:v>-0.16</c:v>
                </c:pt>
                <c:pt idx="10">
                  <c:v>0.16</c:v>
                </c:pt>
                <c:pt idx="12">
                  <c:v>-0.16</c:v>
                </c:pt>
                <c:pt idx="13">
                  <c:v>0.16</c:v>
                </c:pt>
                <c:pt idx="15">
                  <c:v>-0.16</c:v>
                </c:pt>
                <c:pt idx="16">
                  <c:v>0.16</c:v>
                </c:pt>
                <c:pt idx="18">
                  <c:v>-0.16</c:v>
                </c:pt>
                <c:pt idx="19">
                  <c:v>0.16</c:v>
                </c:pt>
              </c:numCache>
            </c:numRef>
          </c:yVal>
          <c:smooth val="0"/>
        </c:ser>
        <c:axId val="9247382"/>
        <c:axId val="16117575"/>
      </c:scatterChart>
      <c:valAx>
        <c:axId val="924738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Rel. Radius ---&gt;</a:t>
                </a:r>
              </a:p>
            </c:rich>
          </c:tx>
          <c:layout>
            <c:manualLayout>
              <c:xMode val="factor"/>
              <c:yMode val="factor"/>
              <c:x val="0.0075"/>
              <c:y val="0.1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25400">
            <a:solidFill>
              <a:srgbClr val="000000"/>
            </a:solidFill>
          </a:ln>
        </c:spPr>
        <c:crossAx val="16117575"/>
        <c:crosses val="autoZero"/>
        <c:crossBetween val="midCat"/>
        <c:dispUnits/>
      </c:valAx>
      <c:valAx>
        <c:axId val="16117575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in"/>
        <c:tickLblPos val="nextTo"/>
        <c:crossAx val="92473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0.19775</cdr:y>
    </cdr:from>
    <cdr:to>
      <cdr:x>0.04175</cdr:x>
      <cdr:y>0.2395</cdr:y>
    </cdr:to>
    <cdr:sp>
      <cdr:nvSpPr>
        <cdr:cNvPr id="1" name="Text 1"/>
        <cdr:cNvSpPr txBox="1">
          <a:spLocks noChangeArrowheads="1"/>
        </cdr:cNvSpPr>
      </cdr:nvSpPr>
      <cdr:spPr>
        <a:xfrm>
          <a:off x="19050" y="942975"/>
          <a:ext cx="219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26</xdr:row>
      <xdr:rowOff>19050</xdr:rowOff>
    </xdr:from>
    <xdr:to>
      <xdr:col>8</xdr:col>
      <xdr:colOff>685800</xdr:colOff>
      <xdr:row>55</xdr:row>
      <xdr:rowOff>95250</xdr:rowOff>
    </xdr:to>
    <xdr:graphicFrame>
      <xdr:nvGraphicFramePr>
        <xdr:cNvPr id="1" name="Chart 6"/>
        <xdr:cNvGraphicFramePr/>
      </xdr:nvGraphicFramePr>
      <xdr:xfrm>
        <a:off x="19050" y="4648200"/>
        <a:ext cx="575310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Dateien\Stathis\Astro\Teleskope\Kyklopas\foucault_24zoll_10zon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1"/>
      <sheetName val="Fehler Kurve"/>
      <sheetName val="Couder Maske 10 Zonen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1">
        <row r="5">
          <cell r="B5">
            <v>609</v>
          </cell>
        </row>
        <row r="6">
          <cell r="B6">
            <v>5035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showGridLines="0" tabSelected="1" workbookViewId="0" topLeftCell="A1">
      <selection activeCell="A3" sqref="A3"/>
    </sheetView>
  </sheetViews>
  <sheetFormatPr defaultColWidth="11.421875" defaultRowHeight="12.75"/>
  <cols>
    <col min="1" max="1" width="20.8515625" style="11" customWidth="1"/>
    <col min="2" max="2" width="9.140625" style="11" customWidth="1"/>
    <col min="3" max="8" width="7.7109375" style="11" customWidth="1"/>
    <col min="9" max="9" width="10.8515625" style="11" customWidth="1"/>
    <col min="10" max="16384" width="11.421875" style="11" customWidth="1"/>
  </cols>
  <sheetData>
    <row r="1" ht="12.75">
      <c r="I1" s="12" t="str">
        <f ca="1">CELL("filename",$A$2)</f>
        <v>C:\Eigene Dateien\Stathis\Webs\ATM\[foucault_14zoll_f45.xls]Fehler Kurve</v>
      </c>
    </row>
    <row r="2" spans="1:9" ht="22.5" customHeight="1">
      <c r="A2" s="59" t="s">
        <v>0</v>
      </c>
      <c r="H2" s="13" t="s">
        <v>1</v>
      </c>
      <c r="I2" s="60">
        <v>37634</v>
      </c>
    </row>
    <row r="3" spans="1:9" ht="18">
      <c r="A3" s="59" t="s">
        <v>58</v>
      </c>
      <c r="F3" s="11" t="s">
        <v>52</v>
      </c>
      <c r="G3"/>
      <c r="I3" s="61"/>
    </row>
    <row r="4" ht="13.5" thickBot="1">
      <c r="F4" s="11" t="s">
        <v>54</v>
      </c>
    </row>
    <row r="5" spans="1:6" ht="13.5" thickBot="1">
      <c r="A5" s="11" t="s">
        <v>2</v>
      </c>
      <c r="B5" s="44">
        <v>358</v>
      </c>
      <c r="F5" s="11" t="s">
        <v>55</v>
      </c>
    </row>
    <row r="6" spans="1:6" ht="13.5" thickBot="1">
      <c r="A6" s="11" t="s">
        <v>3</v>
      </c>
      <c r="B6" s="45">
        <v>3212</v>
      </c>
      <c r="F6" s="11" t="s">
        <v>56</v>
      </c>
    </row>
    <row r="7" spans="1:6" ht="12.75">
      <c r="A7" s="11" t="s">
        <v>4</v>
      </c>
      <c r="B7" s="40">
        <f>Kurvenradius/2</f>
        <v>1606</v>
      </c>
      <c r="F7" s="11" t="s">
        <v>57</v>
      </c>
    </row>
    <row r="8" spans="1:2" ht="13.5" thickBot="1">
      <c r="A8" s="11" t="s">
        <v>5</v>
      </c>
      <c r="B8" s="39">
        <f>B6/2/B5</f>
        <v>4.4860335195530725</v>
      </c>
    </row>
    <row r="9" spans="1:3" ht="13.5" thickBot="1">
      <c r="A9" s="11" t="s">
        <v>6</v>
      </c>
      <c r="B9" s="43">
        <v>6</v>
      </c>
      <c r="C9" s="14" t="s">
        <v>7</v>
      </c>
    </row>
    <row r="10" spans="1:3" ht="13.5" thickBot="1">
      <c r="A10" s="11" t="s">
        <v>8</v>
      </c>
      <c r="B10" s="43">
        <v>1</v>
      </c>
      <c r="C10" s="14" t="s">
        <v>9</v>
      </c>
    </row>
    <row r="11" ht="12.75"/>
    <row r="12" spans="1:9" ht="12.75">
      <c r="A12" s="15" t="s">
        <v>10</v>
      </c>
      <c r="B12" s="16">
        <v>1</v>
      </c>
      <c r="C12" s="16">
        <v>2</v>
      </c>
      <c r="D12" s="16">
        <v>3</v>
      </c>
      <c r="E12" s="16">
        <v>4</v>
      </c>
      <c r="F12" s="16">
        <v>5</v>
      </c>
      <c r="G12" s="16">
        <v>6</v>
      </c>
      <c r="H12" s="16">
        <v>7</v>
      </c>
      <c r="I12" s="17" t="s">
        <v>11</v>
      </c>
    </row>
    <row r="13" spans="1:9" ht="13.5" thickBot="1">
      <c r="A13" s="18"/>
      <c r="B13" s="42"/>
      <c r="C13" s="42"/>
      <c r="D13" s="42"/>
      <c r="E13" s="42"/>
      <c r="F13" s="19"/>
      <c r="G13" s="19"/>
      <c r="H13" s="19"/>
      <c r="I13" s="20" t="s">
        <v>12</v>
      </c>
    </row>
    <row r="14" spans="1:9" ht="13.5" thickBot="1">
      <c r="A14" s="21" t="s">
        <v>13</v>
      </c>
      <c r="B14" s="74">
        <f>'Couder Maske'!B20</f>
        <v>31.075</v>
      </c>
      <c r="C14" s="74">
        <f>'Couder Maske'!B21</f>
        <v>80.075</v>
      </c>
      <c r="D14" s="74">
        <f>'Couder Maske'!B22</f>
        <v>110.45</v>
      </c>
      <c r="E14" s="74">
        <f>'Couder Maske'!B23</f>
        <v>133.65</v>
      </c>
      <c r="F14" s="74">
        <f>'Couder Maske'!B24</f>
        <v>153.5</v>
      </c>
      <c r="G14" s="74">
        <f>'Couder Maske'!B25</f>
        <v>170.85</v>
      </c>
      <c r="H14" s="46"/>
      <c r="I14" s="38">
        <f>Spiegeldurchmesser/2</f>
        <v>179</v>
      </c>
    </row>
    <row r="15" spans="1:9" ht="12.75">
      <c r="A15" s="21" t="s">
        <v>14</v>
      </c>
      <c r="B15" s="41">
        <f>B14/Spiegeldurchmesser*2</f>
        <v>0.17360335195530727</v>
      </c>
      <c r="C15" s="41">
        <f>C14/Spiegeldurchmesser*2</f>
        <v>0.4473463687150838</v>
      </c>
      <c r="D15" s="41">
        <f>IF(D14&lt;&gt;0,D14/Spiegeldurchmesser*2,"")</f>
        <v>0.6170391061452514</v>
      </c>
      <c r="E15" s="41">
        <f>IF(E14&lt;&gt;0,E14/Spiegeldurchmesser*2,"")</f>
        <v>0.7466480446927375</v>
      </c>
      <c r="F15" s="41">
        <f>IF(F14&lt;&gt;0,F14/Spiegeldurchmesser*2,"")</f>
        <v>0.8575418994413407</v>
      </c>
      <c r="G15" s="41">
        <f>IF(G14&lt;&gt;0,G14/Spiegeldurchmesser*2,"")</f>
        <v>0.9544692737430167</v>
      </c>
      <c r="H15" s="41">
        <f>IF(H14&lt;&gt;0,H14/Spiegeldurchmesser*2,"")</f>
      </c>
      <c r="I15" s="1">
        <f>I14/$B$5*2</f>
        <v>1</v>
      </c>
    </row>
    <row r="16" spans="1:16" ht="12.75">
      <c r="A16" s="21" t="s">
        <v>15</v>
      </c>
      <c r="B16" s="22">
        <v>0</v>
      </c>
      <c r="C16" s="22">
        <f>(0.93+0.68)/2</f>
        <v>0.805</v>
      </c>
      <c r="D16" s="22">
        <f>(1.86+1.58)/2</f>
        <v>1.7200000000000002</v>
      </c>
      <c r="E16" s="22">
        <f>(2.74+2.38)/2</f>
        <v>2.56</v>
      </c>
      <c r="F16" s="22">
        <f>(3.72+3.38)/2</f>
        <v>3.55</v>
      </c>
      <c r="G16" s="22">
        <f>(4.64+4.27)/2</f>
        <v>4.455</v>
      </c>
      <c r="H16" s="22"/>
      <c r="I16" s="53">
        <v>5.05</v>
      </c>
      <c r="K16" s="24"/>
      <c r="L16" s="24"/>
      <c r="M16" s="24"/>
      <c r="N16" s="24"/>
      <c r="O16" s="24"/>
      <c r="P16" s="24"/>
    </row>
    <row r="17" spans="1:9" ht="12.75">
      <c r="A17" s="25" t="s">
        <v>16</v>
      </c>
      <c r="B17" s="26"/>
      <c r="C17" s="26"/>
      <c r="D17" s="26"/>
      <c r="E17" s="26"/>
      <c r="F17" s="26"/>
      <c r="G17" s="26"/>
      <c r="H17" s="27" t="s">
        <v>36</v>
      </c>
      <c r="I17" s="63"/>
    </row>
    <row r="18" spans="1:9" ht="12.75">
      <c r="A18" s="28" t="s">
        <v>35</v>
      </c>
      <c r="B18" s="2">
        <f>(B16-$B$16)*2</f>
        <v>0</v>
      </c>
      <c r="C18" s="2">
        <f>(C16-$B$16)*2</f>
        <v>1.61</v>
      </c>
      <c r="D18" s="2">
        <f>IF(D14&lt;&gt;0,(D16-$B$16)*2,0)</f>
        <v>3.4400000000000004</v>
      </c>
      <c r="E18" s="2">
        <f>IF(E14&lt;&gt;0,(E16-$B$16)*2,0)</f>
        <v>5.12</v>
      </c>
      <c r="F18" s="2">
        <f>IF(F14&lt;&gt;0,(F16-$B$16)*2,0)</f>
        <v>7.1</v>
      </c>
      <c r="G18" s="2">
        <f>IF(G14&lt;&gt;0,(G16-$B$16)*2,0)</f>
        <v>8.91</v>
      </c>
      <c r="H18" s="2">
        <f>IF(H14&lt;&gt;0,(H16-$B$16)*2,0)</f>
        <v>0</v>
      </c>
      <c r="I18" s="29">
        <f>I16*2</f>
        <v>10.1</v>
      </c>
    </row>
    <row r="19" spans="1:9" ht="12.75">
      <c r="A19" s="30" t="s">
        <v>17</v>
      </c>
      <c r="B19" s="3">
        <f>(B14^2-$B$14^2)/Kurvenradius</f>
        <v>0</v>
      </c>
      <c r="C19" s="3">
        <f>(C14^2-$B$14^2)/Kurvenradius</f>
        <v>1.6956257783312578</v>
      </c>
      <c r="D19" s="3">
        <f>IF(D14&lt;&gt;0,(D14^2-$B$14^2)/Kurvenradius,"")</f>
        <v>3.497368267434621</v>
      </c>
      <c r="E19" s="3">
        <f>IF(E14&lt;&gt;0,(E14^2-$B$14^2)/Kurvenradius,"")</f>
        <v>5.260481592465754</v>
      </c>
      <c r="F19" s="3">
        <f>IF(F14&lt;&gt;0,(F14^2-$B$14^2)/Kurvenradius,"")</f>
        <v>7.035054288605231</v>
      </c>
      <c r="G19" s="3">
        <f>IF(G14&lt;&gt;0,(G14^2-$B$14^2)/Kurvenradius,"")</f>
        <v>8.78706938823163</v>
      </c>
      <c r="H19" s="3">
        <f>IF(H14&lt;&gt;0,(H14^2-$B$14^2)/Kurvenradius,"")</f>
      </c>
      <c r="I19" s="9">
        <f>(Spiegeldurchmesser/2)^2/Kurvenradius</f>
        <v>9.975404732254047</v>
      </c>
    </row>
    <row r="20" spans="1:9" ht="12.75">
      <c r="A20" s="21" t="s">
        <v>18</v>
      </c>
      <c r="B20" s="4"/>
      <c r="C20" s="5">
        <f>C18-B18</f>
        <v>1.61</v>
      </c>
      <c r="D20" s="5">
        <f>IF(D14&lt;&gt;0,D18-C18,"")</f>
        <v>1.8300000000000003</v>
      </c>
      <c r="E20" s="5">
        <f>IF(E14&lt;&gt;0,E18-D18,"")</f>
        <v>1.6799999999999997</v>
      </c>
      <c r="F20" s="5">
        <f>IF(F14&lt;&gt;0,F18-E18,"")</f>
        <v>1.9799999999999995</v>
      </c>
      <c r="G20" s="5">
        <f>IF(G14&lt;&gt;0,G18-F18,"")</f>
        <v>1.8100000000000005</v>
      </c>
      <c r="H20" s="5">
        <f>IF(H14&lt;&gt;0,H18-G18,"")</f>
      </c>
      <c r="I20" s="31"/>
    </row>
    <row r="21" spans="1:9" ht="12.75">
      <c r="A21" s="21" t="s">
        <v>19</v>
      </c>
      <c r="B21" s="6"/>
      <c r="C21" s="5">
        <f>C19-B19</f>
        <v>1.6956257783312578</v>
      </c>
      <c r="D21" s="5">
        <f>IF(D14&lt;&gt;0,D19-C19,"")</f>
        <v>1.801742489103363</v>
      </c>
      <c r="E21" s="5">
        <f>IF(E14&lt;&gt;0,E19-D19,"")</f>
        <v>1.7631133250311333</v>
      </c>
      <c r="F21" s="5">
        <f>IF(F14&lt;&gt;0,F19-E19,"")</f>
        <v>1.7745726961394768</v>
      </c>
      <c r="G21" s="5">
        <f>IF(G14&lt;&gt;0,G19-F19,"")</f>
        <v>1.7520150996263997</v>
      </c>
      <c r="H21" s="5">
        <f>IF(H14&lt;&gt;0,H19-G19,"")</f>
      </c>
      <c r="I21" s="23"/>
    </row>
    <row r="22" spans="1:9" ht="12.75">
      <c r="A22" s="32" t="s">
        <v>20</v>
      </c>
      <c r="B22" s="7"/>
      <c r="C22" s="8">
        <f>C20/C21</f>
        <v>0.9495019600282758</v>
      </c>
      <c r="D22" s="8">
        <f>IF(D14&lt;&gt;0,D20/D21,"")</f>
        <v>1.01568343482353</v>
      </c>
      <c r="E22" s="8">
        <f>IF(E14&lt;&gt;0,E20/E21,"")</f>
        <v>0.9528599076127645</v>
      </c>
      <c r="F22" s="8">
        <f>IF(F14&lt;&gt;0,F20/F21,"")</f>
        <v>1.1157615601251067</v>
      </c>
      <c r="G22" s="8">
        <f>IF(G14&lt;&gt;0,G20/G21,"")</f>
        <v>1.0330961190836572</v>
      </c>
      <c r="H22" s="8">
        <f>IF(H14&lt;&gt;0,H20/H21,"")</f>
      </c>
      <c r="I22" s="10">
        <f>I18/I19</f>
        <v>1.0124902468711963</v>
      </c>
    </row>
    <row r="23" spans="2:9" ht="15.75">
      <c r="B23" s="33"/>
      <c r="C23" s="13"/>
      <c r="D23" s="33"/>
      <c r="E23" s="33"/>
      <c r="F23" s="33"/>
      <c r="H23" s="13" t="s">
        <v>21</v>
      </c>
      <c r="I23" s="34">
        <f>1/(Max-min)</f>
        <v>8.357217426429857</v>
      </c>
    </row>
    <row r="24" spans="1:9" ht="15.75">
      <c r="A24"/>
      <c r="D24"/>
      <c r="F24" s="33"/>
      <c r="H24" s="13" t="s">
        <v>22</v>
      </c>
      <c r="I24" s="34">
        <f>1/(Max-min)*2</f>
        <v>16.714434852859714</v>
      </c>
    </row>
    <row r="25" spans="1:9" ht="15.75">
      <c r="A25"/>
      <c r="D25"/>
      <c r="F25" s="33"/>
      <c r="H25" s="13" t="s">
        <v>38</v>
      </c>
      <c r="I25" s="34">
        <f>1/(RMS)</f>
        <v>60.3011522773539</v>
      </c>
    </row>
    <row r="26" spans="1:9" ht="15.75">
      <c r="A26" s="35" t="s">
        <v>23</v>
      </c>
      <c r="D26" s="36">
        <f>$B$10</f>
        <v>1</v>
      </c>
      <c r="F26" s="33"/>
      <c r="G26" s="13"/>
      <c r="H26" s="13" t="s">
        <v>37</v>
      </c>
      <c r="I26" s="62">
        <f>1/EXP((2*PI()/I25)^2)</f>
        <v>0.9892017572291963</v>
      </c>
    </row>
    <row r="27" spans="2:14" ht="12.75">
      <c r="B27" s="33"/>
      <c r="C27" s="33"/>
      <c r="D27" s="33"/>
      <c r="E27" s="33"/>
      <c r="F27" s="33"/>
      <c r="G27" s="33"/>
      <c r="H27" s="33"/>
      <c r="I27" s="33"/>
      <c r="N27" s="13" t="s">
        <v>24</v>
      </c>
    </row>
    <row r="28" spans="10:17" ht="12.75">
      <c r="J28" s="13"/>
      <c r="K28" s="13" t="s">
        <v>25</v>
      </c>
      <c r="L28" s="13" t="s">
        <v>26</v>
      </c>
      <c r="M28" s="37" t="s">
        <v>53</v>
      </c>
      <c r="O28" s="13"/>
      <c r="P28" s="13"/>
      <c r="Q28" s="13"/>
    </row>
    <row r="29" spans="10:15" ht="12.75">
      <c r="J29" s="13"/>
      <c r="K29" s="11">
        <f aca="true" t="shared" si="0" ref="K29:K69">L29*$B$5/2</f>
        <v>0</v>
      </c>
      <c r="L29" s="13">
        <v>0</v>
      </c>
      <c r="M29" s="13">
        <f aca="true" t="shared" si="1" ref="M29:M69">WaveError(Spiegeldurchmesser,Kurvenradius,AnzZonen,ParabolGrad,ZR1,ZR2,ZR3,ZR4,ZR5,ZR6,ZR7,ZM1,ZM2,ZM3,ZM4,ZM5,ZM6,ZM7,K29)</f>
        <v>0</v>
      </c>
      <c r="N29" s="13">
        <v>0</v>
      </c>
      <c r="O29" s="13"/>
    </row>
    <row r="30" spans="10:15" ht="12.75">
      <c r="J30" s="13"/>
      <c r="K30" s="58">
        <f t="shared" si="0"/>
        <v>4.4750000000000005</v>
      </c>
      <c r="L30" s="13">
        <v>0.025</v>
      </c>
      <c r="M30" s="52">
        <f t="shared" si="1"/>
        <v>-0.00031455823668619765</v>
      </c>
      <c r="N30" s="54">
        <f>M30^2*K30*(K30-K29)</f>
        <v>1.9814731992519443E-06</v>
      </c>
      <c r="O30" s="13"/>
    </row>
    <row r="31" spans="11:17" ht="12.75">
      <c r="K31" s="51">
        <f t="shared" si="0"/>
        <v>8.950000000000001</v>
      </c>
      <c r="L31" s="13">
        <v>0.05</v>
      </c>
      <c r="M31" s="52">
        <f t="shared" si="1"/>
        <v>-0.0012201876072286154</v>
      </c>
      <c r="N31" s="54">
        <f aca="true" t="shared" si="2" ref="N31:N46">M31^2*K31*(K31-K30)</f>
        <v>5.963061583545953E-05</v>
      </c>
      <c r="O31" s="13"/>
      <c r="P31" s="11" t="s">
        <v>27</v>
      </c>
      <c r="Q31" s="11">
        <f>MIN($M$29:$M$69)</f>
        <v>-0.0400052445006614</v>
      </c>
    </row>
    <row r="32" spans="11:17" ht="12.75">
      <c r="K32" s="51">
        <f t="shared" si="0"/>
        <v>13.424999999999999</v>
      </c>
      <c r="L32" s="13">
        <v>0.075</v>
      </c>
      <c r="M32" s="52">
        <f t="shared" si="1"/>
        <v>-0.0026062518187260734</v>
      </c>
      <c r="N32" s="54">
        <f t="shared" si="2"/>
        <v>0.0004080750897259911</v>
      </c>
      <c r="O32" s="13"/>
      <c r="P32" s="11" t="s">
        <v>28</v>
      </c>
      <c r="Q32" s="11">
        <f>MAX($M$29:$M$69)</f>
        <v>0.07965180747904194</v>
      </c>
    </row>
    <row r="33" spans="11:17" ht="12.75">
      <c r="K33" s="51">
        <f t="shared" si="0"/>
        <v>17.900000000000002</v>
      </c>
      <c r="L33" s="13">
        <v>0.1</v>
      </c>
      <c r="M33" s="52">
        <f t="shared" si="1"/>
        <v>-0.0042997532557554185</v>
      </c>
      <c r="N33" s="54">
        <f t="shared" si="2"/>
        <v>0.0014809252523315358</v>
      </c>
      <c r="O33" s="13"/>
      <c r="P33" s="33"/>
      <c r="Q33" s="33"/>
    </row>
    <row r="34" spans="11:15" ht="12.75">
      <c r="K34" s="51">
        <f t="shared" si="0"/>
        <v>22.375</v>
      </c>
      <c r="L34" s="13">
        <v>0.125</v>
      </c>
      <c r="M34" s="52">
        <f t="shared" si="1"/>
        <v>-0.006081499056377843</v>
      </c>
      <c r="N34" s="54">
        <f t="shared" si="2"/>
        <v>0.0037032017330902132</v>
      </c>
      <c r="O34" s="13"/>
    </row>
    <row r="35" spans="11:17" ht="13.5" thickBot="1">
      <c r="K35" s="51">
        <f t="shared" si="0"/>
        <v>26.849999999999998</v>
      </c>
      <c r="L35" s="13">
        <v>0.15</v>
      </c>
      <c r="M35" s="52">
        <f t="shared" si="1"/>
        <v>-0.007706931331034154</v>
      </c>
      <c r="N35" s="54">
        <f t="shared" si="2"/>
        <v>0.007136747121498823</v>
      </c>
      <c r="O35" s="13"/>
      <c r="P35" s="47" t="s">
        <v>29</v>
      </c>
      <c r="Q35" s="47"/>
    </row>
    <row r="36" spans="11:17" ht="13.5" thickBot="1">
      <c r="K36" s="51">
        <f t="shared" si="0"/>
        <v>31.325</v>
      </c>
      <c r="L36" s="13">
        <v>0.175</v>
      </c>
      <c r="M36" s="52">
        <f t="shared" si="1"/>
        <v>-0.008929943957302653</v>
      </c>
      <c r="N36" s="54">
        <f t="shared" si="2"/>
        <v>0.011178449933176843</v>
      </c>
      <c r="O36" s="13"/>
      <c r="P36" s="48" t="s">
        <v>30</v>
      </c>
      <c r="Q36" s="50">
        <v>0.16</v>
      </c>
    </row>
    <row r="37" spans="11:17" ht="12.75">
      <c r="K37" s="51">
        <f t="shared" si="0"/>
        <v>35.800000000000004</v>
      </c>
      <c r="L37" s="13">
        <v>0.2</v>
      </c>
      <c r="M37" s="52">
        <f t="shared" si="1"/>
        <v>-0.009527702888316869</v>
      </c>
      <c r="N37" s="54">
        <f t="shared" si="2"/>
        <v>0.014542948882563923</v>
      </c>
      <c r="O37" s="13"/>
      <c r="P37" s="48" t="s">
        <v>31</v>
      </c>
      <c r="Q37" s="33" t="s">
        <v>32</v>
      </c>
    </row>
    <row r="38" spans="11:17" ht="12.75">
      <c r="K38" s="51">
        <f t="shared" si="0"/>
        <v>40.275</v>
      </c>
      <c r="L38" s="13">
        <v>0.225</v>
      </c>
      <c r="M38" s="52">
        <f t="shared" si="1"/>
        <v>-0.009324304140466429</v>
      </c>
      <c r="N38" s="54">
        <f t="shared" si="2"/>
        <v>0.015669727734832186</v>
      </c>
      <c r="O38" s="13"/>
      <c r="P38" s="49">
        <f>ZR1/Spiegeldurchmesser*2</f>
        <v>0.17360335195530727</v>
      </c>
      <c r="Q38" s="33">
        <f>$Q$36*-1</f>
        <v>-0.16</v>
      </c>
    </row>
    <row r="39" spans="11:17" ht="12.75">
      <c r="K39" s="51">
        <f t="shared" si="0"/>
        <v>44.75</v>
      </c>
      <c r="L39" s="13">
        <v>0.25</v>
      </c>
      <c r="M39" s="52">
        <f t="shared" si="1"/>
        <v>-0.008211062366095437</v>
      </c>
      <c r="N39" s="54">
        <f t="shared" si="2"/>
        <v>0.013501585806934113</v>
      </c>
      <c r="O39" s="13"/>
      <c r="P39" s="49">
        <f>ZR1/Spiegeldurchmesser*2</f>
        <v>0.17360335195530727</v>
      </c>
      <c r="Q39" s="33">
        <f>$Q$36</f>
        <v>0.16</v>
      </c>
    </row>
    <row r="40" spans="11:17" ht="12.75">
      <c r="K40" s="51">
        <f t="shared" si="0"/>
        <v>49.225</v>
      </c>
      <c r="L40" s="13">
        <v>0.275</v>
      </c>
      <c r="M40" s="52">
        <f t="shared" si="1"/>
        <v>-0.006161336869023051</v>
      </c>
      <c r="N40" s="54">
        <f t="shared" si="2"/>
        <v>0.008362356402037044</v>
      </c>
      <c r="O40" s="13"/>
      <c r="P40"/>
      <c r="Q40"/>
    </row>
    <row r="41" spans="11:17" ht="12.75">
      <c r="K41" s="51">
        <f t="shared" si="0"/>
        <v>53.699999999999996</v>
      </c>
      <c r="L41" s="13">
        <v>0.3</v>
      </c>
      <c r="M41" s="52">
        <f t="shared" si="1"/>
        <v>-0.0032380787697196683</v>
      </c>
      <c r="N41" s="54">
        <f t="shared" si="2"/>
        <v>0.002519661173429779</v>
      </c>
      <c r="O41" s="13"/>
      <c r="P41" s="49">
        <f>ZR2/Spiegeldurchmesser*2</f>
        <v>0.4473463687150838</v>
      </c>
      <c r="Q41" s="33">
        <f>$Q$36*-1</f>
        <v>-0.16</v>
      </c>
    </row>
    <row r="42" spans="11:17" ht="12.75">
      <c r="K42" s="51">
        <f t="shared" si="0"/>
        <v>58.175000000000004</v>
      </c>
      <c r="L42" s="13">
        <v>0.325</v>
      </c>
      <c r="M42" s="52">
        <f t="shared" si="1"/>
        <v>0.000407276482482212</v>
      </c>
      <c r="N42" s="54">
        <f t="shared" si="2"/>
        <v>4.3182531448218414E-05</v>
      </c>
      <c r="O42" s="13"/>
      <c r="P42" s="49">
        <f>ZR2/Spiegeldurchmesser*2</f>
        <v>0.4473463687150838</v>
      </c>
      <c r="Q42" s="33">
        <f>$Q$36</f>
        <v>0.16</v>
      </c>
    </row>
    <row r="43" spans="11:17" ht="12.75">
      <c r="K43" s="51">
        <f t="shared" si="0"/>
        <v>62.65</v>
      </c>
      <c r="L43" s="13">
        <v>0.35</v>
      </c>
      <c r="M43" s="52">
        <f t="shared" si="1"/>
        <v>0.004545350041644879</v>
      </c>
      <c r="N43" s="54">
        <f t="shared" si="2"/>
        <v>0.005792269809564338</v>
      </c>
      <c r="O43" s="13"/>
      <c r="P43" s="49"/>
      <c r="Q43" s="33"/>
    </row>
    <row r="44" spans="11:17" ht="12.75">
      <c r="K44" s="51">
        <f t="shared" si="0"/>
        <v>67.125</v>
      </c>
      <c r="L44" s="13">
        <v>0.375</v>
      </c>
      <c r="M44" s="52">
        <f t="shared" si="1"/>
        <v>0.008888835213699361</v>
      </c>
      <c r="N44" s="54">
        <f t="shared" si="2"/>
        <v>0.023733787440481557</v>
      </c>
      <c r="O44" s="13"/>
      <c r="P44" s="49">
        <f>IF(ZR3&lt;&gt;0,ZR3/Spiegeldurchmesser*2,1)</f>
        <v>0.6170391061452514</v>
      </c>
      <c r="Q44" s="33">
        <f>$Q$36*-1</f>
        <v>-0.16</v>
      </c>
    </row>
    <row r="45" spans="11:17" ht="12.75">
      <c r="K45" s="51">
        <f t="shared" si="0"/>
        <v>71.60000000000001</v>
      </c>
      <c r="L45" s="13">
        <v>0.4</v>
      </c>
      <c r="M45" s="52">
        <f t="shared" si="1"/>
        <v>0.013121176192768202</v>
      </c>
      <c r="N45" s="54">
        <f t="shared" si="2"/>
        <v>0.055163472456653054</v>
      </c>
      <c r="O45" s="13"/>
      <c r="P45" s="49">
        <f>IF(ZR3&lt;&gt;0,ZR3/Spiegeldurchmesser*2,1)</f>
        <v>0.6170391061452514</v>
      </c>
      <c r="Q45" s="33">
        <f>$Q$36</f>
        <v>0.16</v>
      </c>
    </row>
    <row r="46" spans="11:17" ht="12.75">
      <c r="K46" s="51">
        <f t="shared" si="0"/>
        <v>76.075</v>
      </c>
      <c r="L46" s="13">
        <v>0.425</v>
      </c>
      <c r="M46" s="52">
        <f t="shared" si="1"/>
        <v>0.016932167246461988</v>
      </c>
      <c r="N46" s="54">
        <f t="shared" si="2"/>
        <v>0.09760231074669716</v>
      </c>
      <c r="O46" s="13"/>
      <c r="P46" s="49"/>
      <c r="Q46" s="33"/>
    </row>
    <row r="47" spans="11:17" ht="12.75">
      <c r="K47" s="51">
        <f t="shared" si="0"/>
        <v>80.55</v>
      </c>
      <c r="L47" s="13">
        <v>0.45</v>
      </c>
      <c r="M47" s="52">
        <f t="shared" si="1"/>
        <v>0.020057767427414414</v>
      </c>
      <c r="N47" s="54">
        <f aca="true" t="shared" si="3" ref="N47:N62">M47^2*K47*(K47-K46)</f>
        <v>0.14501861965027052</v>
      </c>
      <c r="O47" s="13"/>
      <c r="P47" s="49">
        <f>IF(ZR4&lt;&gt;0,ZR4/Spiegeldurchmesser*2,1)</f>
        <v>0.7466480446927375</v>
      </c>
      <c r="Q47" s="33">
        <f>$Q$36*-1</f>
        <v>-0.16</v>
      </c>
    </row>
    <row r="48" spans="11:17" ht="12.75">
      <c r="K48" s="51">
        <f t="shared" si="0"/>
        <v>85.02499999999999</v>
      </c>
      <c r="L48" s="13">
        <v>0.475</v>
      </c>
      <c r="M48" s="52">
        <f t="shared" si="1"/>
        <v>0.022320493160585056</v>
      </c>
      <c r="N48" s="54">
        <f t="shared" si="3"/>
        <v>0.18956024094857482</v>
      </c>
      <c r="O48" s="13"/>
      <c r="P48" s="49">
        <f>IF(ZR4&lt;&gt;0,ZR4/Spiegeldurchmesser*2,1)</f>
        <v>0.7466480446927375</v>
      </c>
      <c r="Q48" s="33">
        <f>$Q$36</f>
        <v>0.16</v>
      </c>
    </row>
    <row r="49" spans="11:17" ht="12.75">
      <c r="K49" s="51">
        <f t="shared" si="0"/>
        <v>89.5</v>
      </c>
      <c r="L49" s="13">
        <v>0.5</v>
      </c>
      <c r="M49" s="52">
        <f t="shared" si="1"/>
        <v>0.02366592153150443</v>
      </c>
      <c r="N49" s="54">
        <f t="shared" si="3"/>
        <v>0.2243173756431223</v>
      </c>
      <c r="O49" s="13"/>
      <c r="P49"/>
      <c r="Q49"/>
    </row>
    <row r="50" spans="11:17" ht="12.75">
      <c r="K50" s="51">
        <f t="shared" si="0"/>
        <v>93.97500000000001</v>
      </c>
      <c r="L50" s="13">
        <v>0.525</v>
      </c>
      <c r="M50" s="52">
        <f t="shared" si="1"/>
        <v>0.024190198870111285</v>
      </c>
      <c r="N50" s="54">
        <f t="shared" si="3"/>
        <v>0.2460844952815397</v>
      </c>
      <c r="O50" s="13"/>
      <c r="P50" s="49">
        <f>IF(ZR5&lt;&gt;0,ZR5/Spiegeldurchmesser*2,1)</f>
        <v>0.8575418994413407</v>
      </c>
      <c r="Q50" s="33">
        <f>$Q$36*-1</f>
        <v>-0.16</v>
      </c>
    </row>
    <row r="51" spans="11:17" ht="12.75">
      <c r="K51" s="51">
        <f t="shared" si="0"/>
        <v>98.45</v>
      </c>
      <c r="L51" s="13">
        <v>0.55</v>
      </c>
      <c r="M51" s="52">
        <f t="shared" si="1"/>
        <v>0.024153105647070683</v>
      </c>
      <c r="N51" s="54">
        <f t="shared" si="3"/>
        <v>0.25701278170922975</v>
      </c>
      <c r="O51" s="13"/>
      <c r="P51" s="49">
        <f>IF(ZR5&lt;&gt;0,ZR5/Spiegeldurchmesser*2,1)</f>
        <v>0.8575418994413407</v>
      </c>
      <c r="Q51" s="33">
        <f>$Q$36</f>
        <v>0.16</v>
      </c>
    </row>
    <row r="52" spans="11:17" ht="12.75">
      <c r="K52" s="51">
        <f t="shared" si="0"/>
        <v>102.925</v>
      </c>
      <c r="L52" s="13">
        <v>0.575</v>
      </c>
      <c r="M52" s="52">
        <f t="shared" si="1"/>
        <v>0.02397129932734332</v>
      </c>
      <c r="N52" s="54">
        <f t="shared" si="3"/>
        <v>0.26466533660635677</v>
      </c>
      <c r="O52" s="13"/>
      <c r="P52"/>
      <c r="Q52"/>
    </row>
    <row r="53" spans="11:17" ht="12.75">
      <c r="K53" s="51">
        <f t="shared" si="0"/>
        <v>107.39999999999999</v>
      </c>
      <c r="L53" s="13">
        <v>0.6</v>
      </c>
      <c r="M53" s="52">
        <f t="shared" si="1"/>
        <v>0.024186978331382974</v>
      </c>
      <c r="N53" s="54">
        <f t="shared" si="3"/>
        <v>0.2811645430866323</v>
      </c>
      <c r="O53" s="13"/>
      <c r="P53" s="49">
        <f>IF(ZR6&lt;&gt;0,ZR6/Spiegeldurchmesser*2,1)</f>
        <v>0.9544692737430167</v>
      </c>
      <c r="Q53" s="33">
        <f>$Q$36*-1</f>
        <v>-0.16</v>
      </c>
    </row>
    <row r="54" spans="11:17" ht="12.75">
      <c r="K54" s="51">
        <f t="shared" si="0"/>
        <v>111.875</v>
      </c>
      <c r="L54" s="13">
        <v>0.625</v>
      </c>
      <c r="M54" s="52">
        <f t="shared" si="1"/>
        <v>0.025408537354421806</v>
      </c>
      <c r="N54" s="54">
        <f t="shared" si="3"/>
        <v>0.32321046875474563</v>
      </c>
      <c r="O54" s="13"/>
      <c r="P54" s="49">
        <f>IF(ZR6&lt;&gt;0,ZR6/Spiegeldurchmesser*2,1)</f>
        <v>0.9544692737430167</v>
      </c>
      <c r="Q54" s="33">
        <f>$Q$36</f>
        <v>0.16</v>
      </c>
    </row>
    <row r="55" spans="11:17" ht="12.75">
      <c r="K55" s="51">
        <f t="shared" si="0"/>
        <v>116.35000000000001</v>
      </c>
      <c r="L55" s="13">
        <v>0.65</v>
      </c>
      <c r="M55" s="52">
        <f t="shared" si="1"/>
        <v>0.028221990675589947</v>
      </c>
      <c r="N55" s="54">
        <f t="shared" si="3"/>
        <v>0.4147006493052185</v>
      </c>
      <c r="O55" s="13"/>
      <c r="P55" s="49"/>
      <c r="Q55" s="33"/>
    </row>
    <row r="56" spans="11:17" ht="12.75">
      <c r="K56" s="51">
        <f t="shared" si="0"/>
        <v>120.825</v>
      </c>
      <c r="L56" s="13">
        <v>0.675</v>
      </c>
      <c r="M56" s="52">
        <f t="shared" si="1"/>
        <v>0.033075219333130096</v>
      </c>
      <c r="N56" s="54">
        <f t="shared" si="3"/>
        <v>0.5915007629111333</v>
      </c>
      <c r="O56" s="13"/>
      <c r="P56" s="49">
        <f>IF(ZR7&lt;&gt;0,ZR7/Spiegeldurchmesser*2,1)</f>
        <v>1</v>
      </c>
      <c r="Q56" s="33">
        <f>$Q$36*-1</f>
        <v>-0.16</v>
      </c>
    </row>
    <row r="57" spans="11:17" ht="12.75">
      <c r="K57" s="51">
        <f t="shared" si="0"/>
        <v>125.3</v>
      </c>
      <c r="L57" s="13">
        <v>0.7</v>
      </c>
      <c r="M57" s="52">
        <f t="shared" si="1"/>
        <v>0.040141664552627826</v>
      </c>
      <c r="N57" s="54">
        <f t="shared" si="3"/>
        <v>0.9035139564559068</v>
      </c>
      <c r="O57" s="13"/>
      <c r="P57" s="49">
        <f>IF(ZR7&lt;&gt;0,ZR7/Spiegeldurchmesser*2,1)</f>
        <v>1</v>
      </c>
      <c r="Q57" s="33">
        <f>$Q$36</f>
        <v>0.16</v>
      </c>
    </row>
    <row r="58" spans="11:16" ht="12.75">
      <c r="K58" s="51">
        <f t="shared" si="0"/>
        <v>129.775</v>
      </c>
      <c r="L58" s="13">
        <v>0.725</v>
      </c>
      <c r="M58" s="52">
        <f t="shared" si="1"/>
        <v>0.04917617974065813</v>
      </c>
      <c r="N58" s="54">
        <f t="shared" si="3"/>
        <v>1.4044091559545204</v>
      </c>
      <c r="O58" s="13"/>
      <c r="P58" s="33"/>
    </row>
    <row r="59" spans="11:16" ht="12.75">
      <c r="K59" s="51">
        <f t="shared" si="0"/>
        <v>134.25</v>
      </c>
      <c r="L59" s="13">
        <v>0.75</v>
      </c>
      <c r="M59" s="52">
        <f t="shared" si="1"/>
        <v>0.059383625517160976</v>
      </c>
      <c r="N59" s="54">
        <f t="shared" si="3"/>
        <v>2.1185599192529834</v>
      </c>
      <c r="O59" s="13"/>
      <c r="P59" s="33"/>
    </row>
    <row r="60" spans="11:16" ht="12.75">
      <c r="K60" s="51">
        <f t="shared" si="0"/>
        <v>138.725</v>
      </c>
      <c r="L60" s="13">
        <v>0.775</v>
      </c>
      <c r="M60" s="52">
        <f t="shared" si="1"/>
        <v>0.06933072907302817</v>
      </c>
      <c r="N60" s="54">
        <f t="shared" si="3"/>
        <v>2.9840033581808525</v>
      </c>
      <c r="O60" s="13"/>
      <c r="P60"/>
    </row>
    <row r="61" spans="11:16" ht="12.75">
      <c r="K61" s="51">
        <f t="shared" si="0"/>
        <v>143.20000000000002</v>
      </c>
      <c r="L61" s="13">
        <v>0.8</v>
      </c>
      <c r="M61" s="52">
        <f t="shared" si="1"/>
        <v>0.07694403754443285</v>
      </c>
      <c r="N61" s="54">
        <f t="shared" si="3"/>
        <v>3.793901060358223</v>
      </c>
      <c r="O61" s="13"/>
      <c r="P61"/>
    </row>
    <row r="62" spans="11:16" ht="12.75">
      <c r="K62" s="51">
        <f t="shared" si="0"/>
        <v>147.67499999999998</v>
      </c>
      <c r="L62" s="13">
        <v>0.825</v>
      </c>
      <c r="M62" s="52">
        <f t="shared" si="1"/>
        <v>0.07965180747904194</v>
      </c>
      <c r="N62" s="54">
        <f t="shared" si="3"/>
        <v>4.19267587896151</v>
      </c>
      <c r="O62" s="13"/>
      <c r="P62" s="33"/>
    </row>
    <row r="63" spans="11:16" ht="12.75">
      <c r="K63" s="51">
        <f t="shared" si="0"/>
        <v>152.15</v>
      </c>
      <c r="L63" s="13">
        <v>0.85</v>
      </c>
      <c r="M63" s="52">
        <f t="shared" si="1"/>
        <v>0.07474574759124353</v>
      </c>
      <c r="N63" s="54">
        <f aca="true" t="shared" si="4" ref="N63:N69">M63^2*K63*(K63-K62)</f>
        <v>3.8039778223819294</v>
      </c>
      <c r="O63" s="13"/>
      <c r="P63" s="33"/>
    </row>
    <row r="64" spans="11:16" ht="12.75">
      <c r="K64" s="51">
        <f t="shared" si="0"/>
        <v>156.625</v>
      </c>
      <c r="L64" s="13">
        <v>0.875</v>
      </c>
      <c r="M64" s="52">
        <f t="shared" si="1"/>
        <v>0.060060055922039945</v>
      </c>
      <c r="N64" s="54">
        <f t="shared" si="4"/>
        <v>2.5282824389043737</v>
      </c>
      <c r="O64" s="13"/>
      <c r="P64"/>
    </row>
    <row r="65" spans="11:16" ht="12.75">
      <c r="K65" s="51">
        <f t="shared" si="0"/>
        <v>161.1</v>
      </c>
      <c r="L65" s="13">
        <v>0.9</v>
      </c>
      <c r="M65" s="52">
        <f t="shared" si="1"/>
        <v>0.035090579515952625</v>
      </c>
      <c r="N65" s="54">
        <f t="shared" si="4"/>
        <v>0.8877070341921135</v>
      </c>
      <c r="O65" s="13"/>
      <c r="P65"/>
    </row>
    <row r="66" spans="11:16" ht="12.75">
      <c r="K66" s="51">
        <f t="shared" si="0"/>
        <v>165.57500000000002</v>
      </c>
      <c r="L66" s="13">
        <v>0.925</v>
      </c>
      <c r="M66" s="52">
        <f t="shared" si="1"/>
        <v>0.0027066182326400123</v>
      </c>
      <c r="N66" s="54">
        <f t="shared" si="4"/>
        <v>0.005428024627674608</v>
      </c>
      <c r="O66" s="13"/>
      <c r="P66" s="33"/>
    </row>
    <row r="67" spans="11:15" ht="12.75">
      <c r="K67" s="51">
        <f t="shared" si="0"/>
        <v>170.04999999999998</v>
      </c>
      <c r="L67" s="13">
        <v>0.95</v>
      </c>
      <c r="M67" s="52">
        <f t="shared" si="1"/>
        <v>-0.0283576321692664</v>
      </c>
      <c r="N67" s="54">
        <f t="shared" si="4"/>
        <v>0.6119410759335924</v>
      </c>
      <c r="O67" s="13"/>
    </row>
    <row r="68" spans="11:15" ht="12.75">
      <c r="K68" s="51">
        <f t="shared" si="0"/>
        <v>174.525</v>
      </c>
      <c r="L68" s="13">
        <v>0.975</v>
      </c>
      <c r="M68" s="52">
        <f t="shared" si="1"/>
        <v>-0.0400052445006614</v>
      </c>
      <c r="N68" s="54">
        <f t="shared" si="4"/>
        <v>1.2499266976203272</v>
      </c>
      <c r="O68" s="13"/>
    </row>
    <row r="69" spans="11:15" ht="12.75">
      <c r="K69" s="51">
        <f t="shared" si="0"/>
        <v>179</v>
      </c>
      <c r="L69" s="13">
        <v>1</v>
      </c>
      <c r="M69" s="52">
        <f t="shared" si="1"/>
        <v>4.440892098500626E-16</v>
      </c>
      <c r="N69" s="54">
        <f t="shared" si="4"/>
        <v>1.5797432665116504E-28</v>
      </c>
      <c r="O69" s="13"/>
    </row>
    <row r="70" spans="12:15" ht="12.75">
      <c r="L70" s="55"/>
      <c r="M70" s="56" t="s">
        <v>33</v>
      </c>
      <c r="N70" s="57">
        <f>SUM(N29:N69)</f>
        <v>27.682462010924336</v>
      </c>
      <c r="O70" s="57"/>
    </row>
    <row r="71" spans="12:14" ht="12.75">
      <c r="L71" s="13"/>
      <c r="M71" s="13" t="s">
        <v>34</v>
      </c>
      <c r="N71" s="11">
        <f>SQRT(N70/(PI()/4*Spiegeldurchmesser^2))</f>
        <v>0.016583431032968006</v>
      </c>
    </row>
  </sheetData>
  <printOptions/>
  <pageMargins left="0.75" right="0.61" top="0.72" bottom="0.74" header="0.56" footer="0.511811023"/>
  <pageSetup horizontalDpi="300" verticalDpi="300" orientation="portrait" paperSize="9" r:id="rId4"/>
  <headerFooter alignWithMargins="0">
    <oddHeader>&amp;R&amp;"Helvetica,Standard"&amp;7&amp;A</oddHeader>
    <oddFooter>&amp;L&amp;"Helvetica,Standard"&amp;7Stathis Kafalis&amp;R&amp;"Helvetica,Standard"&amp;7Ausdruck vom : &amp;D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J30"/>
  <sheetViews>
    <sheetView workbookViewId="0" topLeftCell="A1">
      <selection activeCell="A7" sqref="A7"/>
    </sheetView>
  </sheetViews>
  <sheetFormatPr defaultColWidth="11.421875" defaultRowHeight="12.75"/>
  <cols>
    <col min="3" max="3" width="12.7109375" style="0" customWidth="1"/>
  </cols>
  <sheetData>
    <row r="1" spans="1:5" ht="12.75">
      <c r="A1" s="64" t="s">
        <v>39</v>
      </c>
      <c r="E1" t="s">
        <v>40</v>
      </c>
    </row>
    <row r="2" spans="1:3" ht="12.75">
      <c r="A2" s="11" t="s">
        <v>2</v>
      </c>
      <c r="C2" s="65">
        <v>358</v>
      </c>
    </row>
    <row r="3" spans="1:3" ht="13.5" thickBot="1">
      <c r="A3" s="11" t="s">
        <v>3</v>
      </c>
      <c r="C3" s="66">
        <v>3220</v>
      </c>
    </row>
    <row r="4" spans="1:3" ht="13.5" thickBot="1">
      <c r="A4" s="67" t="s">
        <v>41</v>
      </c>
      <c r="C4" s="44">
        <v>16.5</v>
      </c>
    </row>
    <row r="5" spans="1:3" ht="13.5" thickBot="1">
      <c r="A5" s="67" t="s">
        <v>42</v>
      </c>
      <c r="C5" s="44">
        <v>0</v>
      </c>
    </row>
    <row r="6" spans="1:3" ht="12.75">
      <c r="A6" s="11" t="s">
        <v>43</v>
      </c>
      <c r="C6" s="68">
        <f>C14^2-D14^2</f>
        <v>5634.75</v>
      </c>
    </row>
    <row r="8" spans="1:10" ht="12.75">
      <c r="A8" s="48" t="s">
        <v>44</v>
      </c>
      <c r="B8" s="48" t="s">
        <v>45</v>
      </c>
      <c r="C8" s="48" t="s">
        <v>46</v>
      </c>
      <c r="D8" s="48" t="s">
        <v>47</v>
      </c>
      <c r="E8" s="48" t="s">
        <v>48</v>
      </c>
      <c r="F8" s="48" t="s">
        <v>49</v>
      </c>
      <c r="G8" s="48" t="s">
        <v>50</v>
      </c>
      <c r="H8" s="48"/>
      <c r="I8" s="48"/>
      <c r="J8" s="48"/>
    </row>
    <row r="9" spans="1:10" ht="12.75">
      <c r="A9" s="48">
        <v>1</v>
      </c>
      <c r="B9" s="69">
        <f aca="true" t="shared" si="0" ref="B9:B14">(C9+D9)/2</f>
        <v>31.093608668020494</v>
      </c>
      <c r="C9" s="69">
        <f>D10-$C$5</f>
        <v>62.18721733604099</v>
      </c>
      <c r="D9" s="69">
        <v>0</v>
      </c>
      <c r="E9" s="69">
        <f aca="true" t="shared" si="1" ref="E9:E14">C9-D9</f>
        <v>62.18721733604099</v>
      </c>
      <c r="F9" s="70">
        <f aca="true" t="shared" si="2" ref="F9:F14">B9*B9/$C$3</f>
        <v>0.30025232919254635</v>
      </c>
      <c r="G9" s="70"/>
      <c r="H9" s="48"/>
      <c r="I9" s="48"/>
      <c r="J9" s="48"/>
    </row>
    <row r="10" spans="1:10" ht="12.75">
      <c r="A10" s="48">
        <v>2</v>
      </c>
      <c r="B10" s="69">
        <f t="shared" si="0"/>
        <v>79.83271001385984</v>
      </c>
      <c r="C10" s="69">
        <f>D11-$C$5</f>
        <v>97.4782026916787</v>
      </c>
      <c r="D10" s="69">
        <f>SQRT(C10^2-$C$6)</f>
        <v>62.18721733604099</v>
      </c>
      <c r="E10" s="69">
        <f t="shared" si="1"/>
        <v>35.290985355637716</v>
      </c>
      <c r="F10" s="70">
        <f t="shared" si="2"/>
        <v>1.979273785141937</v>
      </c>
      <c r="G10" s="70">
        <f>F10-F9</f>
        <v>1.6790214559493908</v>
      </c>
      <c r="H10" s="48"/>
      <c r="I10" s="48"/>
      <c r="J10" s="48"/>
    </row>
    <row r="11" spans="1:10" ht="12.75">
      <c r="A11" s="48">
        <v>3</v>
      </c>
      <c r="B11" s="69">
        <f t="shared" si="0"/>
        <v>110.25485136158736</v>
      </c>
      <c r="C11" s="69">
        <f>D12-$C$5</f>
        <v>123.031500031496</v>
      </c>
      <c r="D11" s="69">
        <f>SQRT(C11^2-$C$6)</f>
        <v>97.4782026916787</v>
      </c>
      <c r="E11" s="69">
        <f t="shared" si="1"/>
        <v>25.55329733981729</v>
      </c>
      <c r="F11" s="70">
        <f t="shared" si="2"/>
        <v>3.775196350548361</v>
      </c>
      <c r="G11" s="70">
        <f>F11-F10</f>
        <v>1.7959225654064237</v>
      </c>
      <c r="H11" s="48"/>
      <c r="I11" s="48"/>
      <c r="J11" s="48"/>
    </row>
    <row r="12" spans="1:10" ht="12.75">
      <c r="A12" s="48">
        <v>4</v>
      </c>
      <c r="B12" s="69">
        <f t="shared" si="0"/>
        <v>133.57735560429978</v>
      </c>
      <c r="C12" s="69">
        <f>D13-$C$5</f>
        <v>144.1232111771036</v>
      </c>
      <c r="D12" s="69">
        <f>SQRT(C12^2-$C$6)</f>
        <v>123.031500031496</v>
      </c>
      <c r="E12" s="69">
        <f t="shared" si="1"/>
        <v>21.091711145607604</v>
      </c>
      <c r="F12" s="70">
        <f t="shared" si="2"/>
        <v>5.541276375850173</v>
      </c>
      <c r="G12" s="70">
        <f>F12-F11</f>
        <v>1.7660800253018123</v>
      </c>
      <c r="H12" s="48"/>
      <c r="I12" s="48"/>
      <c r="J12" s="48"/>
    </row>
    <row r="13" spans="1:10" ht="12.75">
      <c r="A13" s="48">
        <v>5</v>
      </c>
      <c r="B13" s="69">
        <f t="shared" si="0"/>
        <v>153.3116055885518</v>
      </c>
      <c r="C13" s="69">
        <f>D14-$C$5</f>
        <v>162.5</v>
      </c>
      <c r="D13" s="69">
        <f>SQRT(C13^2-$C$6)</f>
        <v>144.1232111771036</v>
      </c>
      <c r="E13" s="69">
        <f t="shared" si="1"/>
        <v>18.3767888228964</v>
      </c>
      <c r="F13" s="70">
        <f t="shared" si="2"/>
        <v>7.299518139173809</v>
      </c>
      <c r="G13" s="70">
        <f>F13-F12</f>
        <v>1.7582417633236362</v>
      </c>
      <c r="H13" s="48"/>
      <c r="I13" s="48"/>
      <c r="J13" s="48"/>
    </row>
    <row r="14" spans="1:10" ht="12.75">
      <c r="A14" s="48">
        <v>6</v>
      </c>
      <c r="B14" s="69">
        <f t="shared" si="0"/>
        <v>170.75</v>
      </c>
      <c r="C14" s="69">
        <f>C2/2</f>
        <v>179</v>
      </c>
      <c r="D14" s="69">
        <f>C14-C4</f>
        <v>162.5</v>
      </c>
      <c r="E14" s="69">
        <f t="shared" si="1"/>
        <v>16.5</v>
      </c>
      <c r="F14" s="70">
        <f t="shared" si="2"/>
        <v>9.05452251552795</v>
      </c>
      <c r="G14" s="70">
        <f>F14-F13</f>
        <v>1.7550043763541403</v>
      </c>
      <c r="H14" s="48"/>
      <c r="I14" s="48"/>
      <c r="J14" s="48"/>
    </row>
    <row r="15" spans="1:10" ht="12.75">
      <c r="A15" s="48"/>
      <c r="B15" s="69"/>
      <c r="C15" s="69"/>
      <c r="D15" s="69"/>
      <c r="E15" s="69"/>
      <c r="F15" s="70"/>
      <c r="G15" s="70"/>
      <c r="H15" s="48"/>
      <c r="I15" s="48"/>
      <c r="J15" s="48"/>
    </row>
    <row r="16" spans="1:10" ht="12.75">
      <c r="A16" s="48"/>
      <c r="B16" s="69"/>
      <c r="C16" s="69"/>
      <c r="D16" s="69"/>
      <c r="E16" s="69"/>
      <c r="F16" s="70"/>
      <c r="G16" s="70"/>
      <c r="H16" s="48"/>
      <c r="I16" s="48"/>
      <c r="J16" s="48"/>
    </row>
    <row r="17" spans="1:10" ht="12.75">
      <c r="A17" s="48"/>
      <c r="B17" s="48"/>
      <c r="C17" s="48"/>
      <c r="D17" s="48"/>
      <c r="E17" s="48"/>
      <c r="F17" s="48"/>
      <c r="G17" s="48"/>
      <c r="H17" s="48"/>
      <c r="I17" s="48"/>
      <c r="J17" s="48"/>
    </row>
    <row r="18" spans="1:10" ht="12.75">
      <c r="A18" s="71" t="s">
        <v>51</v>
      </c>
      <c r="B18" s="48"/>
      <c r="C18" s="48"/>
      <c r="D18" s="48"/>
      <c r="E18" s="48"/>
      <c r="F18" s="48"/>
      <c r="G18" s="48"/>
      <c r="H18" s="48"/>
      <c r="I18" s="48"/>
      <c r="J18" s="48"/>
    </row>
    <row r="19" spans="1:8" ht="12.75">
      <c r="A19" s="48" t="s">
        <v>44</v>
      </c>
      <c r="B19" s="48" t="s">
        <v>45</v>
      </c>
      <c r="C19" s="48" t="s">
        <v>46</v>
      </c>
      <c r="D19" s="48" t="s">
        <v>47</v>
      </c>
      <c r="E19" s="48"/>
      <c r="F19" s="48"/>
      <c r="H19" s="48"/>
    </row>
    <row r="20" spans="1:5" ht="12.75">
      <c r="A20" s="48">
        <v>1</v>
      </c>
      <c r="B20" s="69">
        <f aca="true" t="shared" si="3" ref="B20:B25">(C20+D20)/2</f>
        <v>31.075</v>
      </c>
      <c r="C20" s="69">
        <f>124.3/2</f>
        <v>62.15</v>
      </c>
      <c r="D20" s="69">
        <f>D9</f>
        <v>0</v>
      </c>
      <c r="E20" s="70"/>
    </row>
    <row r="21" spans="1:9" ht="12.75">
      <c r="A21" s="48">
        <v>2</v>
      </c>
      <c r="B21" s="69">
        <f t="shared" si="3"/>
        <v>80.075</v>
      </c>
      <c r="C21" s="69">
        <f>195.3/2</f>
        <v>97.65</v>
      </c>
      <c r="D21" s="69">
        <f>125/2</f>
        <v>62.5</v>
      </c>
      <c r="E21" s="70"/>
      <c r="F21" s="72"/>
      <c r="I21" s="73"/>
    </row>
    <row r="22" spans="1:9" ht="12.75">
      <c r="A22" s="48">
        <v>3</v>
      </c>
      <c r="B22" s="69">
        <f t="shared" si="3"/>
        <v>110.45</v>
      </c>
      <c r="C22" s="69">
        <f>246.8/2</f>
        <v>123.4</v>
      </c>
      <c r="D22" s="69">
        <f>195/2</f>
        <v>97.5</v>
      </c>
      <c r="E22" s="70"/>
      <c r="F22" s="72"/>
      <c r="I22" s="73"/>
    </row>
    <row r="23" spans="1:9" ht="12.75">
      <c r="A23" s="48">
        <v>4</v>
      </c>
      <c r="B23" s="69">
        <f t="shared" si="3"/>
        <v>133.65</v>
      </c>
      <c r="C23" s="69">
        <f>287.7/2</f>
        <v>143.85</v>
      </c>
      <c r="D23" s="69">
        <f>246.9/2</f>
        <v>123.45</v>
      </c>
      <c r="E23" s="70"/>
      <c r="F23" s="72"/>
      <c r="I23" s="73"/>
    </row>
    <row r="24" spans="1:9" ht="12.75">
      <c r="A24" s="48">
        <v>5</v>
      </c>
      <c r="B24" s="69">
        <f t="shared" si="3"/>
        <v>153.5</v>
      </c>
      <c r="C24" s="69">
        <f>325.7/2</f>
        <v>162.85</v>
      </c>
      <c r="D24" s="69">
        <f>288.3/2</f>
        <v>144.15</v>
      </c>
      <c r="E24" s="70"/>
      <c r="F24" s="72"/>
      <c r="I24" s="73"/>
    </row>
    <row r="25" spans="1:9" ht="12.75">
      <c r="A25" s="48">
        <v>6</v>
      </c>
      <c r="B25" s="69">
        <f t="shared" si="3"/>
        <v>170.85</v>
      </c>
      <c r="C25" s="69">
        <f>C2/2</f>
        <v>179</v>
      </c>
      <c r="D25" s="69">
        <f>325.4/2</f>
        <v>162.7</v>
      </c>
      <c r="E25" s="70"/>
      <c r="F25" s="72"/>
      <c r="I25" s="73"/>
    </row>
    <row r="26" spans="1:9" ht="12.75">
      <c r="A26" s="48"/>
      <c r="B26" s="69"/>
      <c r="C26" s="69"/>
      <c r="D26" s="69"/>
      <c r="E26" s="70"/>
      <c r="F26" s="72"/>
      <c r="I26" s="73"/>
    </row>
    <row r="27" spans="1:9" ht="12.75">
      <c r="A27" s="48"/>
      <c r="B27" s="69"/>
      <c r="C27" s="69"/>
      <c r="D27" s="69"/>
      <c r="E27" s="70"/>
      <c r="F27" s="72"/>
      <c r="I27" s="73"/>
    </row>
    <row r="28" spans="1:9" ht="12.75">
      <c r="A28" s="48"/>
      <c r="B28" s="69"/>
      <c r="C28" s="69"/>
      <c r="D28" s="69"/>
      <c r="E28" s="70"/>
      <c r="F28" s="72"/>
      <c r="I28" s="73"/>
    </row>
    <row r="29" spans="1:9" ht="12.75">
      <c r="A29" s="48"/>
      <c r="B29" s="69"/>
      <c r="C29" s="69"/>
      <c r="D29" s="69"/>
      <c r="E29" s="70"/>
      <c r="F29" s="72"/>
      <c r="I29" s="73"/>
    </row>
    <row r="30" spans="1:9" ht="12.75">
      <c r="A30" s="48"/>
      <c r="B30" s="69"/>
      <c r="C30" s="69"/>
      <c r="D30" s="69"/>
      <c r="E30" s="70"/>
      <c r="F30" s="72"/>
      <c r="I30" s="73"/>
    </row>
  </sheetData>
  <printOptions gridLines="1"/>
  <pageMargins left="0.75" right="0.75" top="1" bottom="1" header="0.511811023" footer="0.511811023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Formblatt</dc:title>
  <dc:subject/>
  <dc:creator>Stathis Kafalis</dc:creator>
  <cp:keywords/>
  <dc:description/>
  <cp:lastModifiedBy>Stathis Kafalis</cp:lastModifiedBy>
  <cp:lastPrinted>2002-04-27T05:37:26Z</cp:lastPrinted>
  <dcterms:created xsi:type="dcterms:W3CDTF">2000-09-15T12:32:31Z</dcterms:created>
  <dcterms:modified xsi:type="dcterms:W3CDTF">2003-02-12T14:06:51Z</dcterms:modified>
  <cp:category/>
  <cp:version/>
  <cp:contentType/>
  <cp:contentStatus/>
</cp:coreProperties>
</file>